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120" windowWidth="20730" windowHeight="11640"/>
  </bookViews>
  <sheets>
    <sheet name="Computations and Answers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34" i="2" l="1"/>
  <c r="K333" i="2"/>
  <c r="K332" i="2"/>
  <c r="I333" i="2"/>
  <c r="I334" i="2"/>
  <c r="I332" i="2"/>
  <c r="K490" i="2"/>
  <c r="K489" i="2"/>
  <c r="K484" i="2"/>
  <c r="J482" i="2"/>
  <c r="K471" i="2"/>
  <c r="J469" i="2"/>
  <c r="J464" i="2"/>
  <c r="K456" i="2"/>
  <c r="J453" i="2"/>
  <c r="K448" i="2"/>
  <c r="K447" i="2"/>
  <c r="H445" i="2"/>
  <c r="H444" i="2"/>
  <c r="K441" i="2"/>
  <c r="AA438" i="2"/>
  <c r="K439" i="2"/>
  <c r="K437" i="2"/>
  <c r="K435" i="2"/>
  <c r="I427" i="2"/>
  <c r="I421" i="2"/>
  <c r="F409" i="2"/>
  <c r="J408" i="2"/>
  <c r="K400" i="2"/>
  <c r="K393" i="2"/>
  <c r="I318" i="2"/>
  <c r="I319" i="2"/>
  <c r="I317" i="2"/>
  <c r="H302" i="2"/>
  <c r="H301" i="2"/>
  <c r="J296" i="2"/>
  <c r="K288" i="2"/>
  <c r="AA271" i="2" l="1"/>
  <c r="J146" i="2"/>
  <c r="K146" i="2" s="1"/>
  <c r="J145" i="2"/>
  <c r="K145" i="2" s="1"/>
  <c r="J144" i="2"/>
  <c r="K144" i="2" s="1"/>
  <c r="J269" i="2"/>
  <c r="J265" i="2"/>
  <c r="G155" i="2"/>
  <c r="G154" i="2"/>
  <c r="G153" i="2"/>
  <c r="G152" i="2"/>
  <c r="G151" i="2"/>
  <c r="Q195" i="2"/>
  <c r="V195" i="2"/>
  <c r="U195" i="2"/>
  <c r="AC13" i="2"/>
  <c r="AB21" i="2"/>
  <c r="AC21" i="2"/>
  <c r="AD21" i="2"/>
  <c r="AE21" i="2"/>
  <c r="AF21" i="2"/>
  <c r="AG21" i="2"/>
  <c r="AH21" i="2"/>
  <c r="AI21" i="2"/>
  <c r="AJ21" i="2"/>
  <c r="AK21" i="2"/>
  <c r="AL21" i="2"/>
  <c r="AM21" i="2"/>
  <c r="AN21" i="2"/>
  <c r="AO21" i="2"/>
  <c r="AP21" i="2"/>
  <c r="AQ21" i="2"/>
  <c r="AR21" i="2"/>
  <c r="AS21" i="2"/>
  <c r="AT21" i="2"/>
  <c r="AU21" i="2"/>
  <c r="AV21" i="2"/>
  <c r="AW21" i="2"/>
  <c r="AX21" i="2"/>
  <c r="AY21" i="2"/>
  <c r="AZ21" i="2"/>
  <c r="AB22" i="2"/>
  <c r="AC22" i="2"/>
  <c r="AD22" i="2"/>
  <c r="AE22" i="2"/>
  <c r="AF22" i="2"/>
  <c r="AG22" i="2"/>
  <c r="AH22" i="2"/>
  <c r="AI22" i="2"/>
  <c r="AJ22" i="2"/>
  <c r="AK22" i="2"/>
  <c r="AL22" i="2"/>
  <c r="AM22" i="2"/>
  <c r="AN22" i="2"/>
  <c r="AO22" i="2"/>
  <c r="AP22" i="2"/>
  <c r="AQ22" i="2"/>
  <c r="AR22" i="2"/>
  <c r="AS22" i="2"/>
  <c r="AT22" i="2"/>
  <c r="AU22" i="2"/>
  <c r="AV22" i="2"/>
  <c r="AW22" i="2"/>
  <c r="AX22" i="2"/>
  <c r="AY22" i="2"/>
  <c r="AZ22" i="2"/>
  <c r="AB23" i="2"/>
  <c r="AC23" i="2"/>
  <c r="AD23" i="2"/>
  <c r="AE23" i="2"/>
  <c r="AF23" i="2"/>
  <c r="AG23" i="2"/>
  <c r="AH23" i="2"/>
  <c r="AI23" i="2"/>
  <c r="AJ23" i="2"/>
  <c r="AK23" i="2"/>
  <c r="AL23" i="2"/>
  <c r="AM23" i="2"/>
  <c r="AN23" i="2"/>
  <c r="AO23" i="2"/>
  <c r="AP23" i="2"/>
  <c r="AQ23" i="2"/>
  <c r="AR23" i="2"/>
  <c r="AS23" i="2"/>
  <c r="AT23" i="2"/>
  <c r="AU23" i="2"/>
  <c r="AV23" i="2"/>
  <c r="AW23" i="2"/>
  <c r="AX23" i="2"/>
  <c r="AY23" i="2"/>
  <c r="AZ23" i="2"/>
  <c r="AC20" i="2"/>
  <c r="AD20" i="2"/>
  <c r="AE20" i="2"/>
  <c r="AF20" i="2"/>
  <c r="AG20" i="2"/>
  <c r="AH20" i="2"/>
  <c r="AI20" i="2"/>
  <c r="AJ20" i="2"/>
  <c r="AK20" i="2"/>
  <c r="AL20" i="2"/>
  <c r="AM20" i="2"/>
  <c r="AN20" i="2"/>
  <c r="AO20" i="2"/>
  <c r="AP20" i="2"/>
  <c r="AQ20" i="2"/>
  <c r="AR20" i="2"/>
  <c r="AS20" i="2"/>
  <c r="AT20" i="2"/>
  <c r="AU20" i="2"/>
  <c r="AV20" i="2"/>
  <c r="AW20" i="2"/>
  <c r="AX20" i="2"/>
  <c r="AY20" i="2"/>
  <c r="AZ20" i="2"/>
  <c r="AB20" i="2"/>
  <c r="AB16" i="2"/>
  <c r="AC16" i="2"/>
  <c r="AD16" i="2"/>
  <c r="AE16" i="2"/>
  <c r="AF16" i="2"/>
  <c r="AG16" i="2"/>
  <c r="AH16" i="2"/>
  <c r="AI16" i="2"/>
  <c r="AJ16" i="2"/>
  <c r="AK16" i="2"/>
  <c r="AL16" i="2"/>
  <c r="AM16" i="2"/>
  <c r="AN16" i="2"/>
  <c r="AO16" i="2"/>
  <c r="AP16" i="2"/>
  <c r="AQ16" i="2"/>
  <c r="AR16" i="2"/>
  <c r="AS16" i="2"/>
  <c r="AT16" i="2"/>
  <c r="AU16" i="2"/>
  <c r="AV16" i="2"/>
  <c r="AW16" i="2"/>
  <c r="AX16" i="2"/>
  <c r="AY16" i="2"/>
  <c r="AB17" i="2"/>
  <c r="AC17" i="2"/>
  <c r="AD17" i="2"/>
  <c r="AE17" i="2"/>
  <c r="AF17" i="2"/>
  <c r="AG17" i="2"/>
  <c r="AH17" i="2"/>
  <c r="AI17" i="2"/>
  <c r="AJ17" i="2"/>
  <c r="AK17" i="2"/>
  <c r="AL17" i="2"/>
  <c r="AM17" i="2"/>
  <c r="AN17" i="2"/>
  <c r="AO17" i="2"/>
  <c r="AP17" i="2"/>
  <c r="AQ17" i="2"/>
  <c r="AR17" i="2"/>
  <c r="AS17" i="2"/>
  <c r="AT17" i="2"/>
  <c r="AU17" i="2"/>
  <c r="AV17" i="2"/>
  <c r="AW17" i="2"/>
  <c r="AX17" i="2"/>
  <c r="AY17" i="2"/>
  <c r="AB18" i="2"/>
  <c r="AC18" i="2"/>
  <c r="AD18" i="2"/>
  <c r="AE18" i="2"/>
  <c r="AF18" i="2"/>
  <c r="AG18" i="2"/>
  <c r="AH18" i="2"/>
  <c r="AI18" i="2"/>
  <c r="AJ18" i="2"/>
  <c r="AK18" i="2"/>
  <c r="AL18" i="2"/>
  <c r="AM18" i="2"/>
  <c r="AN18" i="2"/>
  <c r="AO18" i="2"/>
  <c r="AP18" i="2"/>
  <c r="AQ18" i="2"/>
  <c r="AR18" i="2"/>
  <c r="AS18" i="2"/>
  <c r="AT18" i="2"/>
  <c r="AU18" i="2"/>
  <c r="AV18" i="2"/>
  <c r="AW18" i="2"/>
  <c r="AX18" i="2"/>
  <c r="AY18" i="2"/>
  <c r="AC15" i="2"/>
  <c r="AD15" i="2"/>
  <c r="AE15" i="2"/>
  <c r="AF15" i="2"/>
  <c r="AG15" i="2"/>
  <c r="AH15" i="2"/>
  <c r="AI15" i="2"/>
  <c r="AJ15" i="2"/>
  <c r="AK15" i="2"/>
  <c r="AL15" i="2"/>
  <c r="AM15" i="2"/>
  <c r="AN15" i="2"/>
  <c r="AO15" i="2"/>
  <c r="AP15" i="2"/>
  <c r="AQ15" i="2"/>
  <c r="AR15" i="2"/>
  <c r="AS15" i="2"/>
  <c r="AT15" i="2"/>
  <c r="AU15" i="2"/>
  <c r="AV15" i="2"/>
  <c r="AW15" i="2"/>
  <c r="AX15" i="2"/>
  <c r="AY15" i="2"/>
  <c r="AB15" i="2"/>
  <c r="AZ15" i="2"/>
  <c r="AZ16" i="2"/>
  <c r="AZ17" i="2"/>
  <c r="AZ18" i="2"/>
  <c r="AB11" i="2"/>
  <c r="AC11" i="2"/>
  <c r="AD11" i="2"/>
  <c r="AE11" i="2"/>
  <c r="AF11" i="2"/>
  <c r="AG11" i="2"/>
  <c r="AH11" i="2"/>
  <c r="AI11" i="2"/>
  <c r="AJ11" i="2"/>
  <c r="AK11" i="2"/>
  <c r="AL11" i="2"/>
  <c r="AM11" i="2"/>
  <c r="AN11" i="2"/>
  <c r="AO11" i="2"/>
  <c r="AP11" i="2"/>
  <c r="AQ11" i="2"/>
  <c r="AR11" i="2"/>
  <c r="AS11" i="2"/>
  <c r="AT11" i="2"/>
  <c r="AU11" i="2"/>
  <c r="AV11" i="2"/>
  <c r="AW11" i="2"/>
  <c r="AX11" i="2"/>
  <c r="AY11" i="2"/>
  <c r="AZ11" i="2"/>
  <c r="AB12" i="2"/>
  <c r="AC12" i="2"/>
  <c r="AD12" i="2"/>
  <c r="AE12" i="2"/>
  <c r="AF12" i="2"/>
  <c r="AG12" i="2"/>
  <c r="AH12" i="2"/>
  <c r="AI12" i="2"/>
  <c r="AJ12" i="2"/>
  <c r="AK12" i="2"/>
  <c r="AL12" i="2"/>
  <c r="AM12" i="2"/>
  <c r="AN12" i="2"/>
  <c r="AO12" i="2"/>
  <c r="AP12" i="2"/>
  <c r="AQ12" i="2"/>
  <c r="AR12" i="2"/>
  <c r="AS12" i="2"/>
  <c r="AT12" i="2"/>
  <c r="AU12" i="2"/>
  <c r="AV12" i="2"/>
  <c r="AW12" i="2"/>
  <c r="AX12" i="2"/>
  <c r="AY12" i="2"/>
  <c r="AZ12" i="2"/>
  <c r="AB13" i="2"/>
  <c r="AD13" i="2"/>
  <c r="AE13" i="2"/>
  <c r="AF13" i="2"/>
  <c r="AG13" i="2"/>
  <c r="AH13" i="2"/>
  <c r="AI13" i="2"/>
  <c r="AJ13" i="2"/>
  <c r="AK13" i="2"/>
  <c r="AL13" i="2"/>
  <c r="AM13" i="2"/>
  <c r="AN13" i="2"/>
  <c r="AO13" i="2"/>
  <c r="AP13" i="2"/>
  <c r="AQ13" i="2"/>
  <c r="AR13" i="2"/>
  <c r="AS13" i="2"/>
  <c r="AT13" i="2"/>
  <c r="AU13" i="2"/>
  <c r="AV13" i="2"/>
  <c r="AW13" i="2"/>
  <c r="AX13" i="2"/>
  <c r="AY13" i="2"/>
  <c r="AZ13" i="2"/>
  <c r="AC10" i="2"/>
  <c r="AD10" i="2"/>
  <c r="AE10" i="2"/>
  <c r="AF10" i="2"/>
  <c r="AG10" i="2"/>
  <c r="AH10" i="2"/>
  <c r="AI10" i="2"/>
  <c r="AJ10" i="2"/>
  <c r="AK10" i="2"/>
  <c r="AL10" i="2"/>
  <c r="AM10" i="2"/>
  <c r="AN10" i="2"/>
  <c r="AO10" i="2"/>
  <c r="AP10" i="2"/>
  <c r="AQ10" i="2"/>
  <c r="AR10" i="2"/>
  <c r="AS10" i="2"/>
  <c r="AT10" i="2"/>
  <c r="AU10" i="2"/>
  <c r="AV10" i="2"/>
  <c r="AW10" i="2"/>
  <c r="AX10" i="2"/>
  <c r="AY10" i="2"/>
  <c r="AZ10" i="2"/>
  <c r="AB10" i="2"/>
  <c r="P21" i="2"/>
  <c r="P19" i="2"/>
  <c r="P17" i="2"/>
  <c r="M83" i="2"/>
  <c r="M82" i="2"/>
  <c r="M81" i="2"/>
  <c r="M80" i="2"/>
  <c r="M79" i="2"/>
  <c r="K72" i="2"/>
  <c r="F66" i="2"/>
  <c r="L45" i="2"/>
  <c r="L46" i="2"/>
  <c r="L47" i="2"/>
  <c r="L48" i="2"/>
  <c r="L49" i="2"/>
  <c r="L50" i="2"/>
  <c r="L51" i="2"/>
  <c r="L52" i="2"/>
  <c r="L44" i="2"/>
  <c r="L54" i="2" l="1"/>
  <c r="J137" i="2"/>
  <c r="K137" i="2" s="1"/>
  <c r="J138" i="2"/>
  <c r="K138" i="2" s="1"/>
  <c r="J139" i="2"/>
  <c r="K139" i="2" s="1"/>
  <c r="Q52" i="2"/>
  <c r="T195" i="2"/>
  <c r="S195" i="2"/>
  <c r="R195" i="2"/>
  <c r="P195" i="2"/>
  <c r="Q47" i="2" l="1"/>
  <c r="Q51" i="2"/>
  <c r="I60" i="2" s="1"/>
  <c r="Q50" i="2"/>
  <c r="Q48" i="2"/>
  <c r="Q45" i="2"/>
  <c r="Q49" i="2"/>
  <c r="Q44" i="2"/>
  <c r="Q46" i="2"/>
</calcChain>
</file>

<file path=xl/sharedStrings.xml><?xml version="1.0" encoding="utf-8"?>
<sst xmlns="http://schemas.openxmlformats.org/spreadsheetml/2006/main" count="304" uniqueCount="274">
  <si>
    <t>WEEK 4 - HW4</t>
  </si>
  <si>
    <t>THIS IS THE "HUMP" WEEK OF OUR COURSE WHERE WE MAKE THE TRANSITION FROM "DESCRIPTIVE" STATISTICS TO "INFERENTIAL" STATISTICS</t>
  </si>
  <si>
    <t>FOR NOW WE WILL ASSUME OUR POPULATIONS (NOT NECESSARILY THE SAMPLES) HAVE A NORMAL (BELL SHAPED) DISTRIBUTION.</t>
  </si>
  <si>
    <t>GROUPS</t>
  </si>
  <si>
    <t>11-20</t>
  </si>
  <si>
    <t>21-30</t>
  </si>
  <si>
    <t>31-40</t>
  </si>
  <si>
    <t>41-50</t>
  </si>
  <si>
    <t>51-60</t>
  </si>
  <si>
    <t>61-70</t>
  </si>
  <si>
    <t>71-80</t>
  </si>
  <si>
    <t>81-90</t>
  </si>
  <si>
    <t>F</t>
  </si>
  <si>
    <t>RF</t>
  </si>
  <si>
    <t>C-RF</t>
  </si>
  <si>
    <t>1/100</t>
  </si>
  <si>
    <t>4/100</t>
  </si>
  <si>
    <t>10/100</t>
  </si>
  <si>
    <t>20/100</t>
  </si>
  <si>
    <t>30/100</t>
  </si>
  <si>
    <t>%C-RF</t>
  </si>
  <si>
    <t xml:space="preserve"> 1-10</t>
  </si>
  <si>
    <t xml:space="preserve">ADD THOSE INDIVIDUAL AREAS UP AND YOU HAVE THE TOTAL AREA OF THE HISTOGRAM </t>
  </si>
  <si>
    <t xml:space="preserve">IF YOU WERE TO USE A RULER AND MEASURE THE LENGTH AND WIDTH OF EACH COLUMN </t>
  </si>
  <si>
    <t>WHICH INCLUDES ALL (100%) OF THE RAW DATA.</t>
  </si>
  <si>
    <t xml:space="preserve"> THEN MULTIPLY THEM TIMES EACH OTHER YOU WOULD HAVE THE AREA OF EACH COLUMN. </t>
  </si>
  <si>
    <t>#1</t>
  </si>
  <si>
    <t>WHAT % OF THE TOTAL HISTOGRAM AREA IS THIS COLUMN REPRESENTING GROUP 1 (DATA POINTS IN THE 1 - 10 RANGE)?</t>
  </si>
  <si>
    <t>#2</t>
  </si>
  <si>
    <t>WHAT % OF THE TOTAL HISTOGRAM AREA ARE THE COLUMNS REPRESENTING GROUPS 8 AND 9 (DATA POINTS IN THE 71-80 AND 81-90 RANGES)?</t>
  </si>
  <si>
    <t>#3</t>
  </si>
  <si>
    <r>
      <t xml:space="preserve">NOTE THAT THE CUMULATIVE RELATIVE FEQUENCY COLUMN (C-RF OR %C-RF) GIVES THE PERCENT OF THE AREA TO THE </t>
    </r>
    <r>
      <rPr>
        <b/>
        <sz val="14"/>
        <color rgb="FFFF0000"/>
        <rFont val="Calibri"/>
        <family val="2"/>
        <scheme val="minor"/>
      </rPr>
      <t>LEFT</t>
    </r>
    <r>
      <rPr>
        <b/>
        <sz val="12"/>
        <color theme="1"/>
        <rFont val="Calibri"/>
        <family val="2"/>
        <scheme val="minor"/>
      </rPr>
      <t xml:space="preserve"> OF A PARTICULAR GROUP.</t>
    </r>
  </si>
  <si>
    <t>#4</t>
  </si>
  <si>
    <t>NOW, LET'S WEAVE PROBABILITY INTO THIS PICTURE.  SUPPOSE WE WROTE EACH DATA VALUE ON A PIECE OF PAPER AND PUT ALL 100 PIECES INTO A HAT.</t>
  </si>
  <si>
    <t xml:space="preserve">    (NOTE THAT IF YOU SUBTRACT THE AREA % TO THE LEFT OF GROUP 7 FROM 100%, YOU GET THE AREA TO THE RIGHT OF GROUP 7)  </t>
  </si>
  <si>
    <t>(a)  SO, WHAT % OF THE TOTAL HISTOGRAM AREA IS TO THE LEFT OF AND INCLUDING GROUP 7?</t>
  </si>
  <si>
    <t xml:space="preserve">(b)  WHAT IS THE AREA TO THE RIGHT OF GROUP 7?  </t>
  </si>
  <si>
    <t>(a)   GROUP 1?</t>
  </si>
  <si>
    <t>(b)  GROUPS 1 OR 2?</t>
  </si>
  <si>
    <t>(c)  GROUPS 8 OR 9?</t>
  </si>
  <si>
    <t>(d) GROUPS 1 OR 2 OR 1/2 OF GROUP 3?</t>
  </si>
  <si>
    <t>(e) GROUPS 9, 8 AND 1/2 OF GROUP 7</t>
  </si>
  <si>
    <t>IF YOU BLINDLY PULL OUT A PIECE OF PAPER FROM THIS HAT, WHAT IS THE PROBABILITY THAT DATA VALUE IS FROM:</t>
  </si>
  <si>
    <t xml:space="preserve">DO YOU SEE THE RELATIONSHIP BETWEEN AN AREA OF THE GRAPH AND THE PERCENTAGE OR PROBABILITY OF DATA BEING IN THAT AREA?  </t>
  </si>
  <si>
    <t>AND, DO YOU SEE THAT THE CUMULATIVE RF REPRESENTS THE AREA TO THE LEFT OF A PARTICULAR GROUP?</t>
  </si>
  <si>
    <t>IT IS CRITICAL THAT YOU "SEE" THIS.  KEEP READING IT AND LOOKING AT THE HISTOGRAM UNTIL THIS "CLICKS"</t>
  </si>
  <si>
    <t>[THIS WEEK'S DISCUSSION TRIES TO SUMMARIZE WHAT HAS BEEN LEARNED BY "DESCRIBING" OUR DATA GRAPHICALLY AND WITH BASIC STATISTICS (E.G., MEAN, VARIANCE, ETC)]</t>
  </si>
  <si>
    <t xml:space="preserve">INFERENTIAL STATISTICS USES SAMPLE STATISTICS TO PREDICT POPULATION STATISTICS.  </t>
  </si>
  <si>
    <t xml:space="preserve">WE WILL ALSO BE TYING  PROBABILITY INTO OUR FREQUENCY DISTRIBUTIONS (THE HISTOGRAMS).  </t>
  </si>
  <si>
    <t>HURDLE 1</t>
  </si>
  <si>
    <t>HURDLE 2</t>
  </si>
  <si>
    <t xml:space="preserve">OK, LET'S MOVE ON TO THE NEXT WRINKLE  </t>
  </si>
  <si>
    <r>
      <t xml:space="preserve">HERE ARE 100 </t>
    </r>
    <r>
      <rPr>
        <b/>
        <sz val="14"/>
        <color rgb="FFFF0000"/>
        <rFont val="Calibri"/>
        <family val="2"/>
        <scheme val="minor"/>
      </rPr>
      <t>RAW</t>
    </r>
    <r>
      <rPr>
        <b/>
        <sz val="14"/>
        <color theme="1"/>
        <rFont val="Calibri"/>
        <family val="2"/>
        <scheme val="minor"/>
      </rPr>
      <t xml:space="preserve"> SAMPLE DATA VALUES (DATA POINTS) IN RANK ORDER:</t>
    </r>
  </si>
  <si>
    <t>THE BASIC STATISTICS:</t>
  </si>
  <si>
    <t xml:space="preserve">MEAN </t>
  </si>
  <si>
    <t>VARIANCE</t>
  </si>
  <si>
    <t>STD DEV</t>
  </si>
  <si>
    <t>RANGE OF DATA VALUES</t>
  </si>
  <si>
    <t>1 TO 90</t>
  </si>
  <si>
    <t>WHAT IF WE INCREASED THE NUMBER OF GROUPS (MADE EACH GROUP A SMALLER WIDTH LIKE 5 INSTEAD OF 10)?</t>
  </si>
  <si>
    <t>OUR HISTOGRAM OF THIS "NORMAL" DISTRIBUTION SHAPE MIGHT  LOOK LIKE:</t>
  </si>
  <si>
    <t xml:space="preserve">AND, SINCE WE ARE DEALING WITH CONTINUOUS DATA </t>
  </si>
  <si>
    <t>WE DON'T REALLY NEED THE INDIVIDUAL COLUMNS AND CAN JUST LOOK AT THE ENTIRE AREA UNDER THE CURVED RED LINE</t>
  </si>
  <si>
    <t>IF WE DO THAT THEN THIS IS HOW THE RAW DATA WOULD THEORETICALLY BE DISTRIBUTED</t>
  </si>
  <si>
    <t>#5</t>
  </si>
  <si>
    <t>(b) TWO SD'S OF THE MEAN</t>
  </si>
  <si>
    <t>(c)  THREE SD'S OF THE MEAN</t>
  </si>
  <si>
    <t>NUMBER</t>
  </si>
  <si>
    <t>%</t>
  </si>
  <si>
    <r>
      <t>OF OUR 100 RAW DATA POINTS, HOW MANY (</t>
    </r>
    <r>
      <rPr>
        <b/>
        <sz val="12"/>
        <color rgb="FF00B050"/>
        <rFont val="Calibri"/>
        <family val="2"/>
        <scheme val="minor"/>
      </rPr>
      <t>HENCE WHAT %</t>
    </r>
    <r>
      <rPr>
        <b/>
        <sz val="12"/>
        <color theme="1"/>
        <rFont val="Calibri"/>
        <family val="2"/>
        <scheme val="minor"/>
      </rPr>
      <t>) ARE WITHIN PLUS AND MINUS:</t>
    </r>
  </si>
  <si>
    <t>AND  ABOUT 94% SHOULD BE WITHIN TWO SD'S OF THE MEAN, AND 99% SHOULD BE WITHIN THREE SD'S OF THE MEAN</t>
  </si>
  <si>
    <t>SINCE WE ARE DEALING WITH A SAMPLE AND NOT AN ENTIRE POPULATION.</t>
  </si>
  <si>
    <t>(a)  ONE SD FROM THE MEAN?</t>
  </si>
  <si>
    <t>THE ABOVE CURVE IS ALSO THE "STANDARED" GRADING CURVE</t>
  </si>
  <si>
    <t>WITH "C" BEING THE MOST COMMON "AVERAGE"  GRADE</t>
  </si>
  <si>
    <t>THE BELL CURVE ON THE RIGHT INDICATES THAT 68% (34% + 34%) OF OUR DATA VALUES SHOULD BE WITHIN PLUS OR MINUS ONE SD FROM THE MEAN</t>
  </si>
  <si>
    <t>NOTE THAT BOTH ENDS OF THE CURVE NEVER SEEM TO REACH ZERO - THIS IS BECAUSE IN STATISTICS THERE IS NEVER A "SURE THING" AND NEVER AN IMPOSSIBILITY</t>
  </si>
  <si>
    <t>(d)</t>
  </si>
  <si>
    <r>
      <t xml:space="preserve">USING THE STANDARD GRADING CURVE,  IN A CLASS OF </t>
    </r>
    <r>
      <rPr>
        <b/>
        <sz val="14"/>
        <color rgb="FFC00000"/>
        <rFont val="Calibri"/>
        <family val="2"/>
        <scheme val="minor"/>
      </rPr>
      <t>50</t>
    </r>
    <r>
      <rPr>
        <b/>
        <sz val="12"/>
        <color theme="1"/>
        <rFont val="Calibri"/>
        <family val="2"/>
        <scheme val="minor"/>
      </rPr>
      <t xml:space="preserve"> STUDENTS, ABOUT HOW MANY SHOULD RECEIVE AN:  </t>
    </r>
    <r>
      <rPr>
        <b/>
        <sz val="14"/>
        <color rgb="FFC00000"/>
        <rFont val="Calibri"/>
        <family val="2"/>
        <scheme val="minor"/>
      </rPr>
      <t xml:space="preserve"> F, D, C, B, AND A </t>
    </r>
    <r>
      <rPr>
        <b/>
        <sz val="12"/>
        <color theme="1"/>
        <rFont val="Calibri"/>
        <family val="2"/>
        <scheme val="minor"/>
      </rPr>
      <t>?</t>
    </r>
  </si>
  <si>
    <t>GET READY FOR THE NEXT HURDLE</t>
  </si>
  <si>
    <t>USING THE CUMULATIVE RF COLUMN YOU CAN SEE THAT 15% OF OUR 100 DATA VALUES ARE 30 OR LESS</t>
  </si>
  <si>
    <t>AND THAT THESE ARE THE DATA THAT ARE MORE THAN ONE NEGATIVE SD FROM THE MEAN</t>
  </si>
  <si>
    <t>THIS 15% IS ALSO THE PROBABILITY THAT IF WE PUT THE DAT VALUES INTO A HAT AND DREW ONE OUT</t>
  </si>
  <si>
    <t xml:space="preserve">THERE IS A 15% PROBABILITY THAT THAT DATA VALUE WILL BE LESS THAN 30.  </t>
  </si>
  <si>
    <t>IN OTHER WORDS, THE AREA OR % OF OUR DATA THAT IS MORE THAN  -1 SD FROM THE MEAN IS 15% (OF THE TOTAL AREA UNDER THE CURVE)</t>
  </si>
  <si>
    <t xml:space="preserve">FROM HERE ON IN "INFERENTIAL" STATISTICS WE NEED A WAY TO DETERMINE IF A DATA VALUE OR STATISTIC IS "UNUSUAL". </t>
  </si>
  <si>
    <t>REMEMBER THAT EARLY ON WE SAID THAT IF A DATA VALUE WERE MORE THAN 2-SD's FROM THE MEAN (+ OR -) THAT IT COULD BE "UNUSUAL"?</t>
  </si>
  <si>
    <t>THE BLUE LINE INDICATES THE "AREA UNDER THE CURVE" AND IS MEANT TO ACCOUNT FOR ALL THE DATA</t>
  </si>
  <si>
    <r>
      <rPr>
        <b/>
        <sz val="12"/>
        <color rgb="FFFF0000"/>
        <rFont val="Calibri"/>
        <family val="2"/>
        <scheme val="minor"/>
      </rPr>
      <t>FIRST</t>
    </r>
    <r>
      <rPr>
        <b/>
        <sz val="12"/>
        <color theme="1"/>
        <rFont val="Calibri"/>
        <family val="2"/>
        <scheme val="minor"/>
      </rPr>
      <t>, WE NEED TO KNOW HOW MANY STANDARD DEVIATONS FROM THE MEAN A SPECIFIC DATA VALUE OR STATISTIC IS</t>
    </r>
  </si>
  <si>
    <r>
      <rPr>
        <b/>
        <sz val="12"/>
        <color rgb="FFFF0000"/>
        <rFont val="Calibri"/>
        <family val="2"/>
        <scheme val="minor"/>
      </rPr>
      <t>SECOND</t>
    </r>
    <r>
      <rPr>
        <b/>
        <sz val="12"/>
        <color theme="1"/>
        <rFont val="Calibri"/>
        <family val="2"/>
        <scheme val="minor"/>
      </rPr>
      <t xml:space="preserve">, WE THEN NEED A WAY TO DETERMINE WHAT PERCENT OF THE AREA UNDER THE CURVE IS FURTHER OUT ON THE CURVE. </t>
    </r>
  </si>
  <si>
    <r>
      <t xml:space="preserve">THESE STANDARDIZED VALUES ARE CALLED </t>
    </r>
    <r>
      <rPr>
        <b/>
        <sz val="12"/>
        <color rgb="FFFF0000"/>
        <rFont val="Calibri"/>
        <family val="2"/>
        <scheme val="minor"/>
      </rPr>
      <t>Z-VALUES</t>
    </r>
    <r>
      <rPr>
        <b/>
        <sz val="12"/>
        <color theme="1"/>
        <rFont val="Calibri"/>
        <family val="2"/>
        <scheme val="minor"/>
      </rPr>
      <t xml:space="preserve"> AND THE CONVERSION FORMULA IS SIMPLE: </t>
    </r>
    <r>
      <rPr>
        <b/>
        <sz val="14"/>
        <color rgb="FFFF0000"/>
        <rFont val="Calibri"/>
        <family val="2"/>
        <scheme val="minor"/>
      </rPr>
      <t xml:space="preserve"> Z = (X - MEAN)/SD</t>
    </r>
  </si>
  <si>
    <t>HERE, AGAIN, IS OUR CURVE FOR THE 100 RAW DATA POINTS (X-VALUES)</t>
  </si>
  <si>
    <t xml:space="preserve">LET'S JUST "STANDARDIZE" THE X-VALUES OF 1, 15, 30, 45, 60, 75 AND 90 </t>
  </si>
  <si>
    <t>(THE MEAN OF OUR 100 DATA VALUES IS 45 AND THE SD IS 15)</t>
  </si>
  <si>
    <t>X-VALUES</t>
  </si>
  <si>
    <t>Z-VALUES</t>
  </si>
  <si>
    <t>M</t>
  </si>
  <si>
    <r>
      <t xml:space="preserve">NOTE THAT ANY STANDARDIZED MEAN WILL ALWAYS BE </t>
    </r>
    <r>
      <rPr>
        <b/>
        <sz val="12"/>
        <color rgb="FF0070C0"/>
        <rFont val="Calibri"/>
        <family val="2"/>
        <scheme val="minor"/>
      </rPr>
      <t>ZERO</t>
    </r>
  </si>
  <si>
    <r>
      <rPr>
        <b/>
        <sz val="14"/>
        <color rgb="FFFF0000"/>
        <rFont val="Calibri"/>
        <family val="2"/>
        <scheme val="minor"/>
      </rPr>
      <t>FIRST</t>
    </r>
    <r>
      <rPr>
        <b/>
        <sz val="12"/>
        <color theme="1"/>
        <rFont val="Calibri"/>
        <family val="2"/>
        <scheme val="minor"/>
      </rPr>
      <t>, WE  STANDARDIZE OUR DATA  WHICH CONVERTS OUR RAW X-VALUES TO THEIR STANDARD DEVIATIONS FROM THE MEAN</t>
    </r>
  </si>
  <si>
    <r>
      <rPr>
        <b/>
        <sz val="14"/>
        <color rgb="FFFF0000"/>
        <rFont val="Calibri"/>
        <family val="2"/>
        <scheme val="minor"/>
      </rPr>
      <t>SECOND</t>
    </r>
    <r>
      <rPr>
        <b/>
        <sz val="12"/>
        <color theme="1"/>
        <rFont val="Calibri"/>
        <family val="2"/>
        <scheme val="minor"/>
      </rPr>
      <t>, WE FIGURE OUT A WAY TO DETERMINE WHAT PERCENT (PROBABILITY) OF OUR DATA ARE ABOVE OR BELOW THAT MANY SD's FROM THE MEAN</t>
    </r>
  </si>
  <si>
    <t xml:space="preserve">HERE IS WHAT WE NEED TO DO THAT:  A TABLE SHOWING THE AREAS (PERCENT OF DATA = PROBABILITY) TO THE LEFT OF ANY Z-VALUE (STANDARD DEVIATION). </t>
  </si>
  <si>
    <t>OF COURSE THE AREA TO THE RIGHT IS 1.00 OR 100% MINUS THE AREA (% OR PROBABILITY) TO THE LEFT</t>
  </si>
  <si>
    <r>
      <t xml:space="preserve">NOTE THAT THE AREAS (PERCENTAGES = PROBABILITIES) ARE ALWAYS TO THE </t>
    </r>
    <r>
      <rPr>
        <b/>
        <sz val="16"/>
        <color rgb="FFFF0000"/>
        <rFont val="Calibri"/>
        <family val="2"/>
        <scheme val="minor"/>
      </rPr>
      <t>LEFT</t>
    </r>
  </si>
  <si>
    <t>AND WE CALCULATE THOSE Z-VALUES TO TWO DECIMAL PLACES, FOR EXAMPLE -1.56 OR +2.03</t>
  </si>
  <si>
    <t>#6</t>
  </si>
  <si>
    <t>HOW TO USE THE TABLE</t>
  </si>
  <si>
    <r>
      <t xml:space="preserve">2.  WE LOCATE THE FIRST TWO DIGITS -1.2  AND +2.3  ALONG THE </t>
    </r>
    <r>
      <rPr>
        <b/>
        <sz val="12"/>
        <color rgb="FF0070C0"/>
        <rFont val="Calibri"/>
        <family val="2"/>
        <scheme val="minor"/>
      </rPr>
      <t>LEFTMOST COLUMN</t>
    </r>
    <r>
      <rPr>
        <b/>
        <sz val="12"/>
        <color theme="1"/>
        <rFont val="Calibri"/>
        <family val="2"/>
        <scheme val="minor"/>
      </rPr>
      <t xml:space="preserve"> IN THE RESPECTIVE TABLE (- OR + Z-VALUE)</t>
    </r>
  </si>
  <si>
    <t xml:space="preserve">4.  WE FIND THE PERCENTAGE (PROBABILITY) AT THE INTERSECTION OF THIS ROW AND COLUMN  </t>
  </si>
  <si>
    <t>6.  THIS IS ALSO THE PROBABILITY THAT OUR RAW DATA VALUE (X-VALUE) WOULD BE THE ONE DRAWN FROM THE HAT.</t>
  </si>
  <si>
    <t xml:space="preserve">5.  SO, FOR A NEGATIVE (-) STANDARD DEVIATION (Z-VALUE OF -1.23) THE PERCENT OF DATA IN THAT AREA OF THE ENTIRE CURVE IS 0.1093 = 10.93%  </t>
  </si>
  <si>
    <t>7.  FOUR OUR POSITIVE, STANDARD DEVATION (Z-VALUE OF +2.34) WE HAVE AN AREA OF 0.9904 OR  99.04% OF THE TOTAL AREA UNDER THE CURVE.</t>
  </si>
  <si>
    <t xml:space="preserve">THIS ALSO MEANS THAT ONLY 1% OF OUR AREA IS TO THE RIGHT OF THAT X-VALUE (THE CLEAR, UNSHADED AREA).  </t>
  </si>
  <si>
    <r>
      <t>3.  WE THEN GO OVER THAT TABLE</t>
    </r>
    <r>
      <rPr>
        <b/>
        <sz val="12"/>
        <color rgb="FF0070C0"/>
        <rFont val="Calibri"/>
        <family val="2"/>
        <scheme val="minor"/>
      </rPr>
      <t xml:space="preserve"> ROW</t>
    </r>
    <r>
      <rPr>
        <b/>
        <sz val="12"/>
        <color theme="1"/>
        <rFont val="Calibri"/>
        <family val="2"/>
        <scheme val="minor"/>
      </rPr>
      <t xml:space="preserve"> TO THE </t>
    </r>
    <r>
      <rPr>
        <b/>
        <sz val="12"/>
        <color rgb="FF0070C0"/>
        <rFont val="Calibri"/>
        <family val="2"/>
        <scheme val="minor"/>
      </rPr>
      <t>COLUMN</t>
    </r>
    <r>
      <rPr>
        <b/>
        <sz val="12"/>
        <color theme="1"/>
        <rFont val="Calibri"/>
        <family val="2"/>
        <scheme val="minor"/>
      </rPr>
      <t xml:space="preserve"> UNDER THE SECOND DECIMAL PLACE VALUE (0.03 AND 0.04)</t>
    </r>
  </si>
  <si>
    <r>
      <t>1.  AS STATED ABOVE, WE CALCULATE Z-VALUES TO TWO DECIMAL PLACES AS IN</t>
    </r>
    <r>
      <rPr>
        <b/>
        <sz val="16"/>
        <color theme="1"/>
        <rFont val="Calibri"/>
        <family val="2"/>
        <scheme val="minor"/>
      </rPr>
      <t xml:space="preserve"> -1.23  OR + 2.34  </t>
    </r>
  </si>
  <si>
    <t>+2.3</t>
  </si>
  <si>
    <t xml:space="preserve">(a)  </t>
  </si>
  <si>
    <t>LET'S SAY WE HAVE A SAMPLE CONSISTING OF 10,000 RAW X-VALUES (N = 10,000) FROM A NORMALLY DISTRIBUTED POPULATION AND THAT THE SAMPLE MEAN IS 75 WITH AN SD OF + 10 AND -10</t>
  </si>
  <si>
    <t>IF YOU STANDARDIZE THE MEAN, WHAT IS ITS Z-VALUE ?</t>
  </si>
  <si>
    <t>(THINK ABOUT IT:  ANY X-VALUE LESS THAN 75 WILL HAVE A NEGATIVE SD AND ANY X-VALUE &gt; 75 WILL HAVE A  +SD, WON’T IT?</t>
  </si>
  <si>
    <t>(b)</t>
  </si>
  <si>
    <t>FOR AN X-VALUE OF 50, WHIS IS ITS STANDARDIZED Z-VALUE (ITS STANDARD DEVIATION) ?   WHAT IS THE PROBABILITY THAT RAW DATA WILL BE AT OR BELOW THAT STANDARDIZED Z-VALUE?</t>
  </si>
  <si>
    <t>(c)</t>
  </si>
  <si>
    <t xml:space="preserve">ON THIS NORMAL DISTRIBUTION GRAPH, SHADE IN THAT AREA  THIS AREATHAT  REPRESENTS THE PERCENT OR PROBABILITY OF DATA BEING IN THAT PART OF THE CURVE </t>
  </si>
  <si>
    <t>FOR AN X-VALUE OF 105, WHAT IS ITS Z-VALUE?  WHAT IS THE PERCENT OF THE TOTAL AREA TO THE LEFT OF THAT SD (Z-VALUE)?  SHADE IT IN ON THIS GRAPH</t>
  </si>
  <si>
    <t>X-VALUE = 50</t>
  </si>
  <si>
    <t>X-VALUE = 105</t>
  </si>
  <si>
    <t xml:space="preserve">(e)  </t>
  </si>
  <si>
    <t>THIS IS THE LAST HURDLE, WHICH IS BEING ABLE TO READ AND UNDERSTAND STANDARDIZED Z-VALUES AND THEIR RELATIONSHIP TO PERCENTAGES (PROBABILITIES) USING THE ABOVE TABLES.</t>
  </si>
  <si>
    <t>-1.2</t>
  </si>
  <si>
    <t>HERE ARE THOSE TABLES (ALSO AVAILABLE IN CONTENT &gt;  "COURSE RESOURCES" &gt; STATISTICAL RESOURCES &gt; NORMAL DISTRIBUTION TABLES, THE -Z-VALUES)</t>
  </si>
  <si>
    <t>(f)</t>
  </si>
  <si>
    <t>#7</t>
  </si>
  <si>
    <t>FOR SOME WORK THIS WEEK AND IN FUTURE WEEKS, WE WILL CONSIDER "UNUSUAL" DATA TO BE IN 1%, 5%, OR 10% OF THE LEFT (-) OR RIGHT (+) TAILS OF THE NORMAL CURVE.</t>
  </si>
  <si>
    <r>
      <t xml:space="preserve">THESE PERCENTAGES ARE CONSIDERED THE LEVEL OF SIGNIFICANCE REPRESENTED BY </t>
    </r>
    <r>
      <rPr>
        <b/>
        <sz val="16"/>
        <color rgb="FFFF0000"/>
        <rFont val="Calibri"/>
        <family val="2"/>
      </rPr>
      <t>α</t>
    </r>
    <r>
      <rPr>
        <b/>
        <sz val="12"/>
        <color theme="1"/>
        <rFont val="Calibri"/>
        <family val="2"/>
      </rPr>
      <t xml:space="preserve">  WITH 5% BEING THE MOST COMMONLY USED</t>
    </r>
  </si>
  <si>
    <t>SO, FOR ANY STANDARDIZED DATA SET NO MATTER HOW LARGE THE SAMPLE OR ITS RANGE, THE MEAN WILL ALWAYS BE ZERO, AND THE GRAPH WIL HAVE THE SAME BELL CURVE SHAPE.</t>
  </si>
  <si>
    <t>AND, THE Z-VALUES (SD's) WILL ALSO ALWAYS BE THE SAME FOR A GIVEN LEVEL OF SIGNIFICANCE (1% OR 5% OR 10%).</t>
  </si>
  <si>
    <t>KEEP IN MIND THE 1% IN THE BODY OF OUR TABLE WOULD BE 0.0100, AND 5% WOULD BE 0.0500, AND 10% WOULD BE 0.1000</t>
  </si>
  <si>
    <t xml:space="preserve">WHAT ARE THE NEGATIVE  Z-VALUES CORRESPONDING TO AN AREA IN THE LEFT (NEGATIVE SD) TAIL OF THE CURVE CORRESPONDING TO 1% OF THE TOTAL AREA?   5% OF THE TOTAL AREA? AND 10% OF THE TOTAL AREA? </t>
  </si>
  <si>
    <t>(a)</t>
  </si>
  <si>
    <t xml:space="preserve">(b) </t>
  </si>
  <si>
    <t xml:space="preserve">WHAT ARE THEPOSITIVE  Z-VALUES CORRESPONDING TO AN AREA IN THE RIGHT (POSITIVE SD) TAIL OF THE CURVE CORRESPONDING TO 1% OF THE TOTAL AREA?   5% OF THE TOTAL AREA? AND 10% OF THE TOTAL AREA? </t>
  </si>
  <si>
    <t>BECAREFUL TO REMEMBER THAT THE TABLES ONLY GIVE AREAS TO THE LEFT OF A SD (Z-VALUE).   THESE + AREAS WOULD BE THE UNSHADED PART - SO HOW DO YOU DETERMINE THAT?</t>
  </si>
  <si>
    <r>
      <t>IF Z = (X - MEAN )/ SD, THEN GIVEN THE ABOVE SAMPLE MEAN AND SD,  WHAT RAW X-VALUE CORRESPONDS TO A SD (-Z-VALUE) OF</t>
    </r>
    <r>
      <rPr>
        <b/>
        <sz val="12"/>
        <color rgb="FFFF0000"/>
        <rFont val="Calibri"/>
        <family val="2"/>
        <scheme val="minor"/>
      </rPr>
      <t xml:space="preserve"> -1.19</t>
    </r>
    <r>
      <rPr>
        <b/>
        <sz val="12"/>
        <color theme="1"/>
        <rFont val="Calibri"/>
        <family val="2"/>
        <scheme val="minor"/>
      </rPr>
      <t xml:space="preserve"> ?   HOW ABOUT FOR A +Z-VALUE OF </t>
    </r>
    <r>
      <rPr>
        <b/>
        <sz val="12"/>
        <color rgb="FF00B050"/>
        <rFont val="Calibri"/>
        <family val="2"/>
        <scheme val="minor"/>
      </rPr>
      <t>+1.19</t>
    </r>
  </si>
  <si>
    <t>(a). THE SPEED LIMIT IS 70 MPH. WHAT IS THE PROPORTION OF VEHICLES GOING LESS THAN OR EQUAL TO THE SPEED LIMIT?</t>
  </si>
  <si>
    <t>(b)  WHAT PROPORTION OF THE VEHICLES WOULD BE GOING LESS THAN 65 MPH?</t>
  </si>
  <si>
    <t>(c)   A NEW SPEED LIMIT WILL BE INITIATED SUCH THAT APPROXIMATELY 10% OF VEHICLES WILL BE OVER THAT SPEED LIMIT. WHAT IS THE NEW SPEED LIMIT BASED ON THIS CRITERION? (NEED TO CALCULATE THE X-VALUE)</t>
  </si>
  <si>
    <t>(d)   DO YOU THINK THE ACTUAL DISTRIBUTION (HOW THE CURVE LOOKS) OF SPEEDS DIFFERS FROM A NORMAL BELL-SHAPED DISTRIBUTION?</t>
  </si>
  <si>
    <t>(a)   ANYONE WHO SCORES IN THE TOP 20% OF THE DISTRIBUTION GETS A GRADE OF “A” OR “B”  WHAT IS THE LOWEST SCORE SOMEONE CAN GET AND STILL GET A “B”?</t>
  </si>
  <si>
    <t>(b)  THE BOTTOM 20% GET A “D” OR “F”.  WHAT IS THE LOWEST SCORE THAT STILL PASSES WITH THE “C” ?</t>
  </si>
  <si>
    <t>(c)  WHY DON’T THE ENDS TOUCH THE ZERO LINE?  (remember this is probability not “death &amp; taxes”)</t>
  </si>
  <si>
    <t>#8</t>
  </si>
  <si>
    <t>#9</t>
  </si>
  <si>
    <t>#10</t>
  </si>
  <si>
    <t>THE SPEED OF VEHICLES ALONG A STRETCH OF I-95 HAS AN APPROXIMATELY NORMAL DISTRIBUTION WITH A MEAN OF 77 MPH AND A STANDARD DEVIATION OF 9 MPH.</t>
  </si>
  <si>
    <t>STUDENTS TAKE A STATISTICS TEST. THE GRADE DISTRIBUTION IS NORMAL WITH A MEAN OF 70, AND A STANDARD DEVIATION OF 6.</t>
  </si>
  <si>
    <t>IN REALITY THE ACTUAL PERCENTAGES WILL LIKELY NOT MATCH THE THEORETICAL</t>
  </si>
  <si>
    <t>WHAT IS THE PROABILITY (AREA) THAT OUR RAW DATA VALUE COULD BE GREATER THAN 105 (= THE UNSHADED AREA OF THE CURVE)</t>
  </si>
  <si>
    <t>BONUS (0.5)</t>
  </si>
  <si>
    <t xml:space="preserve">SUPPOSE THAT THE DISTANCES OF FLY BALLS HIT TO THE OUTFIELD (IN BASEBALL) IS NORMALLY DISTRIBUTED WITH A MEAN OF 235 FEET AND A STANDARD DEVIATION OF 35 FEET. WE RANDOMLY SAMPLE 50 FLY BALLS.  IF </t>
  </si>
  <si>
    <t xml:space="preserve"> X-bar= AVERAGE DISTANCE IN FEET FOR 50 FLY BALLS, THEN </t>
  </si>
  <si>
    <t xml:space="preserve">(a)  WHAT IS THE PROBABILITY THAT THE 50 FLY BALLS TRAVELED AN AVERAGE OF LESS THAN 225 FEET? </t>
  </si>
  <si>
    <r>
      <t>(b) FIND THE 70</t>
    </r>
    <r>
      <rPr>
        <b/>
        <vertAlign val="superscript"/>
        <sz val="12"/>
        <color rgb="FF000000"/>
        <rFont val="Calibri"/>
        <family val="2"/>
        <scheme val="minor"/>
      </rPr>
      <t>TH</t>
    </r>
    <r>
      <rPr>
        <b/>
        <sz val="12"/>
        <color rgb="FF000000"/>
        <rFont val="Calibri"/>
        <family val="2"/>
        <scheme val="minor"/>
      </rPr>
      <t xml:space="preserve"> PERCENTILE OF THE DISTRIBUTION OF THE AVERAGE OF 50 FLY BALLS</t>
    </r>
  </si>
  <si>
    <r>
      <t xml:space="preserve">HERE IS A GRAPH OF A NORMAL DISTRIBUTION.  </t>
    </r>
    <r>
      <rPr>
        <b/>
        <sz val="12"/>
        <color rgb="FFFF0000"/>
        <rFont val="Calibri"/>
        <family val="2"/>
        <scheme val="minor"/>
      </rPr>
      <t xml:space="preserve">DRAW OVER IT </t>
    </r>
    <r>
      <rPr>
        <b/>
        <sz val="12"/>
        <color theme="1"/>
        <rFont val="Calibri"/>
        <family val="2"/>
        <scheme val="minor"/>
      </rPr>
      <t>WHAT A DISTRIBUTION WOULD LOOK LIKE:</t>
    </r>
  </si>
  <si>
    <r>
      <t xml:space="preserve">(a) IF IT HAD THE SAME MEAN BUT A </t>
    </r>
    <r>
      <rPr>
        <b/>
        <u/>
        <sz val="12"/>
        <color rgb="FFFF0000"/>
        <rFont val="Calibri"/>
        <family val="2"/>
        <scheme val="minor"/>
      </rPr>
      <t>SMALLER</t>
    </r>
    <r>
      <rPr>
        <b/>
        <sz val="12"/>
        <color theme="1"/>
        <rFont val="Calibri"/>
        <family val="2"/>
        <scheme val="minor"/>
      </rPr>
      <t xml:space="preserve"> STANDARD DEVIATION.  (be careful with the height as well as the width)</t>
    </r>
  </si>
  <si>
    <r>
      <t xml:space="preserve">(b) IF IT HAD THE SAME MEAN BUT A </t>
    </r>
    <r>
      <rPr>
        <b/>
        <u/>
        <sz val="12"/>
        <color rgb="FFFF0000"/>
        <rFont val="Calibri"/>
        <family val="2"/>
        <scheme val="minor"/>
      </rPr>
      <t>LARGER</t>
    </r>
    <r>
      <rPr>
        <b/>
        <sz val="12"/>
        <color theme="1"/>
        <rFont val="Calibri"/>
        <family val="2"/>
        <scheme val="minor"/>
      </rPr>
      <t xml:space="preserve"> STANDARD DEVIATION. (same caution)</t>
    </r>
  </si>
  <si>
    <r>
      <t xml:space="preserve">THERE ARE THREE </t>
    </r>
    <r>
      <rPr>
        <b/>
        <sz val="14"/>
        <color theme="5" tint="-0.249977111117893"/>
        <rFont val="Calibri"/>
        <family val="2"/>
        <scheme val="minor"/>
      </rPr>
      <t>"HURDLES"</t>
    </r>
    <r>
      <rPr>
        <b/>
        <sz val="14"/>
        <color theme="1"/>
        <rFont val="Calibri"/>
        <family val="2"/>
        <scheme val="minor"/>
      </rPr>
      <t xml:space="preserve"> YOUR MIND MUST JUMP  TO MASTER THIS WEEK'S CONCEPTS AND THOSE THAT FOLLOW IN THE WEEKS AHEAD.  </t>
    </r>
  </si>
  <si>
    <t>HURDLE #3</t>
  </si>
  <si>
    <t xml:space="preserve">YOU WILL ALSO BE ABLE TO USE ''TECHNILOGY'' TO GET THE TABLE READINGS, BUT YOU NEED TO KNOW WHERE THOSE VALUES ARE COMING FROM AND WHAT THEY REPRESENT - AREAS UNDER THE CURVE </t>
  </si>
  <si>
    <t>DON'T BE SLOPPY HERE - DRAW IT CAREFULLY</t>
  </si>
  <si>
    <r>
      <t xml:space="preserve">A </t>
    </r>
    <r>
      <rPr>
        <b/>
        <sz val="12"/>
        <color rgb="FFFF0000"/>
        <rFont val="Calibri"/>
        <family val="2"/>
        <scheme val="minor"/>
      </rPr>
      <t xml:space="preserve">NEW WRINKLE </t>
    </r>
    <r>
      <rPr>
        <b/>
        <sz val="12"/>
        <color theme="1"/>
        <rFont val="Calibri"/>
        <family val="2"/>
        <scheme val="minor"/>
      </rPr>
      <t xml:space="preserve">IN THIS BONUES PROBLEM IS THAT IT DEALS WITH </t>
    </r>
    <r>
      <rPr>
        <b/>
        <sz val="12"/>
        <color rgb="FFFF0000"/>
        <rFont val="Calibri"/>
        <family val="2"/>
        <scheme val="minor"/>
      </rPr>
      <t>AVERAGES</t>
    </r>
    <r>
      <rPr>
        <b/>
        <sz val="12"/>
        <color theme="1"/>
        <rFont val="Calibri"/>
        <family val="2"/>
        <scheme val="minor"/>
      </rPr>
      <t xml:space="preserve"> AND NOT SPECIFIC DATA VALUES.   THE X WITH A BAR OVER IT REPRESENTS AN AVERAGE AND I REFER TO IT AS X-bar)  </t>
    </r>
  </si>
  <si>
    <t>#12  TEXT PROBLEM:  6.5  #8  ANSWER THIS USING THE Z-TABLES AS WELL AS TECHNILOGY.  GIVE BOTH ANSWERS</t>
  </si>
  <si>
    <t xml:space="preserve">#11 TEXT PROBLEM:  6.3 #8   ASNWER THIS USING THE Z-TABLES AS WELL AS USING TECHNOLOGY.  GIVE BOTH ANSWERS.  </t>
  </si>
  <si>
    <t>Column #</t>
  </si>
  <si>
    <t>Width</t>
  </si>
  <si>
    <t>Length</t>
  </si>
  <si>
    <r>
      <t xml:space="preserve">Area = Length </t>
    </r>
    <r>
      <rPr>
        <sz val="11"/>
        <color theme="1"/>
        <rFont val="Calibri"/>
        <family val="2"/>
      </rPr>
      <t>× Width</t>
    </r>
  </si>
  <si>
    <t>% of Total Area</t>
  </si>
  <si>
    <t>Group 1 represents 1% of the total histogram area.</t>
  </si>
  <si>
    <t>Total Histogram Area =</t>
  </si>
  <si>
    <t>Computation:</t>
  </si>
  <si>
    <t>Group 8 and 9 represent 5% of the total histogram area.</t>
  </si>
  <si>
    <t>95% of the total histogram area is to the left of and including Group 7.</t>
  </si>
  <si>
    <t>Computation: 100% - 95% =</t>
  </si>
  <si>
    <t>The area to the right of Group 7 represents 5% of the total histogram area.</t>
  </si>
  <si>
    <t>Partial Computation for Q5:</t>
  </si>
  <si>
    <t>D</t>
  </si>
  <si>
    <t>C</t>
  </si>
  <si>
    <t>B</t>
  </si>
  <si>
    <t>A</t>
  </si>
  <si>
    <t>About 1 student (rounded to the nearest whole number)</t>
  </si>
  <si>
    <t>About 7 students (rounded to the nearest whole number)</t>
  </si>
  <si>
    <t xml:space="preserve">About 34 students </t>
  </si>
  <si>
    <t xml:space="preserve">About 7 students </t>
  </si>
  <si>
    <t>Grade</t>
  </si>
  <si>
    <t>Z = (X - MEAN)/SD =</t>
  </si>
  <si>
    <t>The Z-value is 0.</t>
  </si>
  <si>
    <r>
      <t>According to the Standard Normal Table, P(z &lt; -2.5) =</t>
    </r>
    <r>
      <rPr>
        <sz val="18"/>
        <color theme="1"/>
        <rFont val="Calibri"/>
        <family val="2"/>
        <scheme val="minor"/>
      </rPr>
      <t xml:space="preserve"> 0.0062 </t>
    </r>
  </si>
  <si>
    <t>THE PROBABILITY THAT RAW DATA WILL BE AT OR BELOW THE STANDARDIZED Z-VALUE OF -2.5 is 0.0062.</t>
  </si>
  <si>
    <t>Note: Our answers will be slightly different if we based the answers on the Frequency Table instead of the actual raw data as computed above</t>
  </si>
  <si>
    <t>(Computation using Excel)</t>
  </si>
  <si>
    <t>Z = (X - MEAN)/SD =(105 - 75)/10 =</t>
  </si>
  <si>
    <r>
      <t>According to the Standard Normal Table, P(z &lt; 3) =</t>
    </r>
    <r>
      <rPr>
        <sz val="18"/>
        <color theme="1"/>
        <rFont val="Calibri"/>
        <family val="2"/>
        <scheme val="minor"/>
      </rPr>
      <t xml:space="preserve"> 0.9987 </t>
    </r>
  </si>
  <si>
    <t>Therefore, the area to the left of Z = 3 represents 99.87% of the total area under the standrad normal curve.</t>
  </si>
  <si>
    <t>Probability = 1 - 0.9987 =</t>
  </si>
  <si>
    <t>Z-Value</t>
  </si>
  <si>
    <t>X-Value = (Z)(SD) + MEAN</t>
  </si>
  <si>
    <t>The X-Value that corresponds to Z = -1.19 is X = 63.1</t>
  </si>
  <si>
    <t>The X-Value that corresponds to Z = 1.19 is X = 86.9</t>
  </si>
  <si>
    <t>Area to the left</t>
  </si>
  <si>
    <t>Negative Z-Value</t>
  </si>
  <si>
    <t>According to the Standard Normal Table, P(z &lt; -2.33) = 0.0099 or about 1%</t>
  </si>
  <si>
    <t>According to the Standard Normal Table, P(z &lt; -1.64) = 0.0505 or about 5%</t>
  </si>
  <si>
    <t>According to the Standard Normal Table, P(z &lt; -1.28) = 0.1003 or about 10%</t>
  </si>
  <si>
    <t>The negative Z-values are -2.33, -1.64, and -1.28, respectively.</t>
  </si>
  <si>
    <t>If it touches the zero line, then the probability that Z-value is greater than or equal to the point of intersection is zero.</t>
  </si>
  <si>
    <t>However, the z-value can be any real numbers.</t>
  </si>
  <si>
    <t>Therefore, the probability must be non-zero that a z-value is greater than any real numbers no matter how large it is.</t>
  </si>
  <si>
    <t>We conclude that the ends don't touch the zero line.</t>
  </si>
  <si>
    <t>Z = (X - MEAN)/SD =(70-77)/9=</t>
  </si>
  <si>
    <r>
      <t>According to the Standard Normal Table, P(z &lt; -0.78) =</t>
    </r>
    <r>
      <rPr>
        <sz val="18"/>
        <color theme="1"/>
        <rFont val="Calibri"/>
        <family val="2"/>
        <scheme val="minor"/>
      </rPr>
      <t xml:space="preserve"> 0.2177 </t>
    </r>
  </si>
  <si>
    <t>Therefore,  THE PROPORTION OF VEHICLES GOING LESS THAN OR EQUAL TO  70 MPH is 0.2177 or 21.77%.</t>
  </si>
  <si>
    <t>Z = (X - MEAN)/SD =(65-77)/9=</t>
  </si>
  <si>
    <r>
      <t>According to the Standard Normal Table, P(z &lt; -1.33) =</t>
    </r>
    <r>
      <rPr>
        <sz val="18"/>
        <color theme="1"/>
        <rFont val="Calibri"/>
        <family val="2"/>
        <scheme val="minor"/>
      </rPr>
      <t xml:space="preserve"> 0.0918</t>
    </r>
  </si>
  <si>
    <t>Therefore,  THE PROPORTION OF VEHICLES GOING LESS THAN  TO  65 MPH is 0.0918 or 9.18%.</t>
  </si>
  <si>
    <t>According to the Standard Normal Table, P(z &lt; 1.28) = 0.8997or about 90%</t>
  </si>
  <si>
    <t>X-value = 1.28*9+77 =</t>
  </si>
  <si>
    <t>It appears that speeds do not differ from bell-shaped distribution because it is very unlikely to observe vehicles with very large speed and vehicles with very low speed.</t>
  </si>
  <si>
    <t>Most vehicles will follow the average speed of  around 77 mph.</t>
  </si>
  <si>
    <t>According to the Standard Normal Table, P(z &lt; 0.84) = 0.7995 or about 80%</t>
  </si>
  <si>
    <t>X-value = 0.84*6+70 =</t>
  </si>
  <si>
    <t>The lowest score someone can get and still get a "B" is about 75.04</t>
  </si>
  <si>
    <t>According to the Standard Normal Table, P(z &lt; -0.84) = 0.2005 or about 20%</t>
  </si>
  <si>
    <t>X-value = -0.84*6+70 =</t>
  </si>
  <si>
    <t>The lowest score someone can get and still  passes with the "C" is about 64.96</t>
  </si>
  <si>
    <t>a)</t>
  </si>
  <si>
    <t>x = life of a dishwasher in years</t>
  </si>
  <si>
    <t>b)</t>
  </si>
  <si>
    <t>Z = (X - MEAN)/SD =(15 - 12)/1.25=</t>
  </si>
  <si>
    <r>
      <t xml:space="preserve">According to the Standard Normal Table, P(z &gt; 2.40) = 1 - 0.9918 = </t>
    </r>
    <r>
      <rPr>
        <sz val="18"/>
        <color theme="1"/>
        <rFont val="Calibri"/>
        <family val="2"/>
        <scheme val="minor"/>
      </rPr>
      <t xml:space="preserve"> 0.0082</t>
    </r>
  </si>
  <si>
    <t xml:space="preserve">Using Excel formula, the probability is </t>
  </si>
  <si>
    <t>c)</t>
  </si>
  <si>
    <t>Z = (X - MEAN)/SD =(6 - 12)/1.25=</t>
  </si>
  <si>
    <r>
      <t xml:space="preserve">According to the Standard Normal Table, P(z &lt; -4.80) = </t>
    </r>
    <r>
      <rPr>
        <sz val="18"/>
        <color theme="1"/>
        <rFont val="Calibri"/>
        <family val="2"/>
        <scheme val="minor"/>
      </rPr>
      <t>0.0000</t>
    </r>
  </si>
  <si>
    <t>d)</t>
  </si>
  <si>
    <t>X-value</t>
  </si>
  <si>
    <t>Z-value</t>
  </si>
  <si>
    <t>Area to the left (According to Table)</t>
  </si>
  <si>
    <t xml:space="preserve">P( -3.20 &lt; z &lt; -1.60) = 0.0548 - 0.0007 = </t>
  </si>
  <si>
    <t>e)</t>
  </si>
  <si>
    <t>It appears that we have a problem with the manufacturing proicess because the probability of observing a dishwasher that lasted 6 years is very small (&lt; 0.0001)</t>
  </si>
  <si>
    <t>f)</t>
  </si>
  <si>
    <t>X-value = -1.64*1.25+12=</t>
  </si>
  <si>
    <t>Answer: 9.95 years</t>
  </si>
  <si>
    <t xml:space="preserve">Using Excel formula, the warranty period  is </t>
  </si>
  <si>
    <t>years</t>
  </si>
  <si>
    <t>x-bar = mean life of 10 dishwashers in years</t>
  </si>
  <si>
    <r>
      <rPr>
        <sz val="12"/>
        <color theme="1"/>
        <rFont val="Calibri"/>
        <family val="2"/>
        <scheme val="minor"/>
      </rPr>
      <t xml:space="preserve">The mean of the smaple mean is the population mean of </t>
    </r>
    <r>
      <rPr>
        <b/>
        <sz val="12"/>
        <color theme="1"/>
        <rFont val="Calibri"/>
        <family val="2"/>
        <scheme val="minor"/>
      </rPr>
      <t>12 years.</t>
    </r>
  </si>
  <si>
    <t>Reason: The life of a dishwasher is normally distributed</t>
  </si>
  <si>
    <t>The sample mean is Normally distributed (bell-shaped) with mean 12 years and standard deviation of about 0.3953 years.</t>
  </si>
  <si>
    <t>Z = (X - MEAN)/(SD/sqrt(n)) =</t>
  </si>
  <si>
    <r>
      <t xml:space="preserve">According to the Standard Normal Table, P(z &lt; -15.18) = </t>
    </r>
    <r>
      <rPr>
        <sz val="18"/>
        <color theme="1"/>
        <rFont val="Calibri"/>
        <family val="2"/>
        <scheme val="minor"/>
      </rPr>
      <t>0.0000</t>
    </r>
  </si>
  <si>
    <t>It appears that we have a problem with the manufacturing proicess because the probability of observing 10 dishwashers that lasted 6 years  or less on the average is very small (&lt; 0.0001)</t>
  </si>
  <si>
    <r>
      <t xml:space="preserve">According to the Standard Normal Table, P(z &lt; -2.02) = </t>
    </r>
    <r>
      <rPr>
        <sz val="18"/>
        <color theme="1"/>
        <rFont val="Calibri"/>
        <family val="2"/>
        <scheme val="minor"/>
      </rPr>
      <t>0.0217 or 2.17%</t>
    </r>
  </si>
  <si>
    <t>According to the Standard Normal Table, P(z &lt; 0.52) = 0.6985 or about 70%</t>
  </si>
  <si>
    <t>X-value = 0.52*(35/sqrt(50)) + 235=</t>
  </si>
  <si>
    <t>feet</t>
  </si>
  <si>
    <t xml:space="preserve">Using Excel formula, the 70th percentile  is </t>
  </si>
  <si>
    <r>
      <t>The 70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percentile is about 237.6 feet.</t>
    </r>
  </si>
  <si>
    <t>Area to the right</t>
  </si>
  <si>
    <t>Positive Z-Value</t>
  </si>
  <si>
    <t>According to the Standard Normal Table, P(z &lt; 2.33) = 0.9901 or about 99%</t>
  </si>
  <si>
    <t>According to the Standard Normal Table, P(z &lt; 1.64) = 0.9495 or about 95%</t>
  </si>
  <si>
    <t>According to the Standard Normal Table, P(z &lt; 1.28) = 0.8997 or about 90%</t>
  </si>
  <si>
    <t>The positive Z-values are 2.33, 1.64, and 1.28, respectively.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</si>
</sst>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5" formatCode="0.000"/>
    <numFmt numFmtId="166" formatCode="0.0000"/>
    <numFmt numFmtId="167" formatCode="0.00000"/>
    <numFmt numFmtId="171" formatCode="0.000000000"/>
    <numFmt numFmtId="172" formatCode="0.0%"/>
  </numFmts>
  <fonts count="4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sz val="16"/>
      <color theme="5" tint="-0.249977111117893"/>
      <name val="Calibri"/>
      <family val="2"/>
      <scheme val="minor"/>
    </font>
    <font>
      <sz val="14"/>
      <color theme="5" tint="-0.249977111117893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6"/>
      <color rgb="FFFF0000"/>
      <name val="Calibri"/>
      <family val="2"/>
    </font>
    <font>
      <b/>
      <sz val="12"/>
      <color theme="1"/>
      <name val="Calibri"/>
      <family val="2"/>
    </font>
    <font>
      <b/>
      <sz val="18"/>
      <color rgb="FFFF0000"/>
      <name val="Calibri"/>
      <family val="2"/>
      <scheme val="minor"/>
    </font>
    <font>
      <b/>
      <sz val="12"/>
      <color theme="5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9" fontId="34" fillId="0" borderId="0" applyFont="0" applyFill="0" applyBorder="0" applyAlignment="0" applyProtection="0"/>
  </cellStyleXfs>
  <cellXfs count="95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quotePrefix="1" applyFont="1" applyAlignment="1">
      <alignment horizontal="center" vertical="center"/>
    </xf>
    <xf numFmtId="0" fontId="1" fillId="2" borderId="0" xfId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9" fontId="2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0" fillId="3" borderId="0" xfId="0" applyFill="1"/>
    <xf numFmtId="0" fontId="13" fillId="3" borderId="0" xfId="0" applyFont="1" applyFill="1" applyAlignment="1">
      <alignment horizontal="left" vertical="center"/>
    </xf>
    <xf numFmtId="0" fontId="12" fillId="0" borderId="0" xfId="0" applyFont="1" applyAlignment="1">
      <alignment horizontal="center"/>
    </xf>
    <xf numFmtId="1" fontId="12" fillId="0" borderId="0" xfId="0" applyNumberFormat="1" applyFont="1" applyAlignment="1">
      <alignment horizontal="center"/>
    </xf>
    <xf numFmtId="0" fontId="14" fillId="0" borderId="0" xfId="0" applyFont="1"/>
    <xf numFmtId="0" fontId="8" fillId="0" borderId="0" xfId="0" applyFont="1" applyAlignme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2" fillId="0" borderId="1" xfId="0" applyFont="1" applyBorder="1" applyAlignment="1">
      <alignment horizontal="center"/>
    </xf>
    <xf numFmtId="0" fontId="6" fillId="0" borderId="0" xfId="0" applyFont="1"/>
    <xf numFmtId="0" fontId="20" fillId="0" borderId="0" xfId="0" applyFont="1"/>
    <xf numFmtId="0" fontId="21" fillId="0" borderId="0" xfId="0" applyFont="1"/>
    <xf numFmtId="0" fontId="23" fillId="0" borderId="0" xfId="0" applyFont="1"/>
    <xf numFmtId="0" fontId="22" fillId="0" borderId="0" xfId="0" applyFont="1"/>
    <xf numFmtId="0" fontId="0" fillId="0" borderId="0" xfId="0" applyAlignment="1">
      <alignment horizontal="center"/>
    </xf>
    <xf numFmtId="1" fontId="22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25" fillId="0" borderId="0" xfId="0" applyFont="1"/>
    <xf numFmtId="0" fontId="0" fillId="0" borderId="0" xfId="0" quotePrefix="1"/>
    <xf numFmtId="0" fontId="0" fillId="0" borderId="0" xfId="0" applyAlignment="1">
      <alignment horizontal="left" vertical="center" indent="5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28" fillId="0" borderId="0" xfId="0" applyFont="1"/>
    <xf numFmtId="9" fontId="6" fillId="0" borderId="0" xfId="0" applyNumberFormat="1" applyFont="1"/>
    <xf numFmtId="0" fontId="19" fillId="0" borderId="2" xfId="0" applyFont="1" applyBorder="1" applyAlignment="1">
      <alignment horizontal="center"/>
    </xf>
    <xf numFmtId="9" fontId="19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right"/>
    </xf>
    <xf numFmtId="0" fontId="29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0" fillId="0" borderId="0" xfId="0" applyFont="1" applyAlignment="1">
      <alignment horizontal="left" vertical="center" indent="5"/>
    </xf>
    <xf numFmtId="0" fontId="4" fillId="0" borderId="0" xfId="0" applyFont="1" applyAlignment="1">
      <alignment horizontal="left" vertical="center" indent="5"/>
    </xf>
    <xf numFmtId="0" fontId="33" fillId="3" borderId="0" xfId="0" applyFont="1" applyFill="1"/>
    <xf numFmtId="0" fontId="2" fillId="3" borderId="0" xfId="0" applyFont="1" applyFill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9" fontId="0" fillId="0" borderId="0" xfId="2" applyFont="1"/>
    <xf numFmtId="9" fontId="0" fillId="3" borderId="0" xfId="2" applyFont="1" applyFill="1"/>
    <xf numFmtId="0" fontId="0" fillId="0" borderId="0" xfId="0" applyAlignment="1">
      <alignment horizontal="left"/>
    </xf>
    <xf numFmtId="9" fontId="0" fillId="0" borderId="0" xfId="0" applyNumberFormat="1"/>
    <xf numFmtId="9" fontId="0" fillId="3" borderId="0" xfId="0" applyNumberFormat="1" applyFill="1"/>
    <xf numFmtId="0" fontId="0" fillId="3" borderId="1" xfId="0" applyFill="1" applyBorder="1"/>
    <xf numFmtId="2" fontId="0" fillId="3" borderId="1" xfId="0" applyNumberFormat="1" applyFill="1" applyBorder="1"/>
    <xf numFmtId="0" fontId="36" fillId="0" borderId="0" xfId="0" applyFont="1" applyAlignment="1">
      <alignment horizontal="left"/>
    </xf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71" fontId="0" fillId="0" borderId="0" xfId="0" applyNumberFormat="1"/>
    <xf numFmtId="0" fontId="37" fillId="0" borderId="0" xfId="0" applyFont="1"/>
    <xf numFmtId="172" fontId="0" fillId="0" borderId="0" xfId="2" applyNumberFormat="1" applyFont="1"/>
    <xf numFmtId="0" fontId="0" fillId="0" borderId="0" xfId="0" applyAlignment="1">
      <alignment horizontal="right"/>
    </xf>
    <xf numFmtId="0" fontId="0" fillId="3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9" fontId="19" fillId="0" borderId="0" xfId="0" applyNumberFormat="1" applyFont="1" applyBorder="1" applyAlignment="1">
      <alignment horizontal="center"/>
    </xf>
    <xf numFmtId="0" fontId="36" fillId="0" borderId="0" xfId="0" applyFont="1"/>
    <xf numFmtId="0" fontId="39" fillId="0" borderId="0" xfId="0" applyFont="1"/>
    <xf numFmtId="0" fontId="40" fillId="0" borderId="0" xfId="0" applyFont="1"/>
    <xf numFmtId="0" fontId="41" fillId="0" borderId="0" xfId="0" applyFont="1" applyBorder="1" applyAlignment="1">
      <alignment horizontal="center"/>
    </xf>
    <xf numFmtId="9" fontId="41" fillId="0" borderId="0" xfId="0" applyNumberFormat="1" applyFont="1" applyBorder="1" applyAlignment="1">
      <alignment horizontal="center"/>
    </xf>
    <xf numFmtId="0" fontId="40" fillId="0" borderId="0" xfId="0" applyFont="1" applyBorder="1"/>
    <xf numFmtId="2" fontId="2" fillId="3" borderId="1" xfId="0" applyNumberFormat="1" applyFont="1" applyFill="1" applyBorder="1"/>
    <xf numFmtId="0" fontId="42" fillId="0" borderId="0" xfId="0" applyFont="1"/>
    <xf numFmtId="0" fontId="4" fillId="0" borderId="0" xfId="0" applyFont="1" applyAlignment="1">
      <alignment horizontal="right"/>
    </xf>
    <xf numFmtId="2" fontId="2" fillId="3" borderId="1" xfId="0" applyNumberFormat="1" applyFont="1" applyFill="1" applyBorder="1" applyAlignment="1">
      <alignment horizontal="center"/>
    </xf>
    <xf numFmtId="0" fontId="43" fillId="0" borderId="0" xfId="0" applyFont="1"/>
    <xf numFmtId="166" fontId="0" fillId="3" borderId="1" xfId="0" applyNumberFormat="1" applyFill="1" applyBorder="1"/>
    <xf numFmtId="166" fontId="0" fillId="0" borderId="0" xfId="0" applyNumberFormat="1" applyFill="1" applyBorder="1"/>
    <xf numFmtId="0" fontId="4" fillId="0" borderId="0" xfId="0" applyFont="1" applyAlignment="1">
      <alignment horizontal="right" vertical="center" indent="5"/>
    </xf>
    <xf numFmtId="0" fontId="0" fillId="0" borderId="0" xfId="0" applyFill="1" applyBorder="1"/>
    <xf numFmtId="0" fontId="0" fillId="0" borderId="0" xfId="0" applyFill="1"/>
  </cellXfs>
  <cellStyles count="3">
    <cellStyle name="Good" xfId="1" builtinId="2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HISTOGRAM FROM </a:t>
            </a:r>
            <a:r>
              <a:rPr lang="en-US" b="1">
                <a:solidFill>
                  <a:srgbClr val="FF0000"/>
                </a:solidFill>
              </a:rPr>
              <a:t>FREQUENCY </a:t>
            </a:r>
            <a:r>
              <a:rPr lang="en-US"/>
              <a:t>COLUMN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469401851084404E-2"/>
          <c:y val="0.17306035113846002"/>
          <c:w val="0.90561637285217889"/>
          <c:h val="0.7330900798016601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'Computations and Answers'!$D$29:$D$38</c:f>
              <c:numCache>
                <c:formatCode>General</c:formatCode>
                <c:ptCount val="10"/>
                <c:pt idx="0">
                  <c:v>1</c:v>
                </c:pt>
                <c:pt idx="1">
                  <c:v>4</c:v>
                </c:pt>
                <c:pt idx="2">
                  <c:v>10</c:v>
                </c:pt>
                <c:pt idx="3">
                  <c:v>20</c:v>
                </c:pt>
                <c:pt idx="4">
                  <c:v>30</c:v>
                </c:pt>
                <c:pt idx="5">
                  <c:v>20</c:v>
                </c:pt>
                <c:pt idx="6">
                  <c:v>10</c:v>
                </c:pt>
                <c:pt idx="7">
                  <c:v>4</c:v>
                </c:pt>
                <c:pt idx="8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1C0-461C-B144-89040E7D6C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7"/>
        <c:axId val="54457856"/>
        <c:axId val="54459392"/>
      </c:barChart>
      <c:catAx>
        <c:axId val="5445785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459392"/>
        <c:crosses val="autoZero"/>
        <c:auto val="1"/>
        <c:lblAlgn val="ctr"/>
        <c:lblOffset val="100"/>
        <c:noMultiLvlLbl val="0"/>
      </c:catAx>
      <c:valAx>
        <c:axId val="54459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4578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jpg"/><Relationship Id="rId13" Type="http://schemas.openxmlformats.org/officeDocument/2006/relationships/image" Target="../media/image12.png"/><Relationship Id="rId3" Type="http://schemas.openxmlformats.org/officeDocument/2006/relationships/image" Target="../media/image2.jpg"/><Relationship Id="rId7" Type="http://schemas.openxmlformats.org/officeDocument/2006/relationships/image" Target="../media/image6.jpg"/><Relationship Id="rId12" Type="http://schemas.openxmlformats.org/officeDocument/2006/relationships/image" Target="../media/image11.png"/><Relationship Id="rId2" Type="http://schemas.openxmlformats.org/officeDocument/2006/relationships/image" Target="../media/image1.jpg"/><Relationship Id="rId1" Type="http://schemas.openxmlformats.org/officeDocument/2006/relationships/chart" Target="../charts/chart1.xml"/><Relationship Id="rId6" Type="http://schemas.openxmlformats.org/officeDocument/2006/relationships/image" Target="../media/image5.jpg"/><Relationship Id="rId11" Type="http://schemas.openxmlformats.org/officeDocument/2006/relationships/image" Target="../media/image10.jpg"/><Relationship Id="rId5" Type="http://schemas.openxmlformats.org/officeDocument/2006/relationships/image" Target="../media/image4.jpg"/><Relationship Id="rId15" Type="http://schemas.openxmlformats.org/officeDocument/2006/relationships/image" Target="../media/image14.png"/><Relationship Id="rId10" Type="http://schemas.openxmlformats.org/officeDocument/2006/relationships/image" Target="../media/image9.jpg"/><Relationship Id="rId4" Type="http://schemas.openxmlformats.org/officeDocument/2006/relationships/image" Target="../media/image3.jpg"/><Relationship Id="rId9" Type="http://schemas.openxmlformats.org/officeDocument/2006/relationships/image" Target="../media/image8.jp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214312</xdr:colOff>
      <xdr:row>27</xdr:row>
      <xdr:rowOff>184151</xdr:rowOff>
    </xdr:from>
    <xdr:to>
      <xdr:col>24</xdr:col>
      <xdr:colOff>261937</xdr:colOff>
      <xdr:row>35</xdr:row>
      <xdr:rowOff>4763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C909DB0A-FE92-4558-A622-5F469476F8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98424</xdr:colOff>
      <xdr:row>33</xdr:row>
      <xdr:rowOff>231776</xdr:rowOff>
    </xdr:from>
    <xdr:to>
      <xdr:col>12</xdr:col>
      <xdr:colOff>200025</xdr:colOff>
      <xdr:row>34</xdr:row>
      <xdr:rowOff>200026</xdr:rowOff>
    </xdr:to>
    <xdr:sp macro="" textlink="">
      <xdr:nvSpPr>
        <xdr:cNvPr id="3" name="Oval 2">
          <a:extLst>
            <a:ext uri="{FF2B5EF4-FFF2-40B4-BE49-F238E27FC236}">
              <a16:creationId xmlns="" xmlns:a16="http://schemas.microsoft.com/office/drawing/2014/main" id="{E5AE7E9C-6969-4586-8CFC-3E8C9DF40A9A}"/>
            </a:ext>
          </a:extLst>
        </xdr:cNvPr>
        <xdr:cNvSpPr/>
      </xdr:nvSpPr>
      <xdr:spPr>
        <a:xfrm>
          <a:off x="4051299" y="8299451"/>
          <a:ext cx="415926" cy="34925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85725</xdr:colOff>
      <xdr:row>33</xdr:row>
      <xdr:rowOff>63500</xdr:rowOff>
    </xdr:from>
    <xdr:to>
      <xdr:col>23</xdr:col>
      <xdr:colOff>214312</xdr:colOff>
      <xdr:row>34</xdr:row>
      <xdr:rowOff>190499</xdr:rowOff>
    </xdr:to>
    <xdr:sp macro="" textlink="">
      <xdr:nvSpPr>
        <xdr:cNvPr id="4" name="Oval 3">
          <a:extLst>
            <a:ext uri="{FF2B5EF4-FFF2-40B4-BE49-F238E27FC236}">
              <a16:creationId xmlns="" xmlns:a16="http://schemas.microsoft.com/office/drawing/2014/main" id="{F633D9D2-B30C-4C3F-8D0F-6ED45C51FA3C}"/>
            </a:ext>
          </a:extLst>
        </xdr:cNvPr>
        <xdr:cNvSpPr/>
      </xdr:nvSpPr>
      <xdr:spPr>
        <a:xfrm>
          <a:off x="7019925" y="8131175"/>
          <a:ext cx="1071562" cy="507999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269875</xdr:colOff>
      <xdr:row>31</xdr:row>
      <xdr:rowOff>365125</xdr:rowOff>
    </xdr:from>
    <xdr:to>
      <xdr:col>20</xdr:col>
      <xdr:colOff>158750</xdr:colOff>
      <xdr:row>31</xdr:row>
      <xdr:rowOff>365125</xdr:rowOff>
    </xdr:to>
    <xdr:cxnSp macro="">
      <xdr:nvCxnSpPr>
        <xdr:cNvPr id="5" name="Straight Arrow Connector 4">
          <a:extLst>
            <a:ext uri="{FF2B5EF4-FFF2-40B4-BE49-F238E27FC236}">
              <a16:creationId xmlns="" xmlns:a16="http://schemas.microsoft.com/office/drawing/2014/main" id="{C8DD66AE-C01C-4CD3-976D-2E859177387D}"/>
            </a:ext>
          </a:extLst>
        </xdr:cNvPr>
        <xdr:cNvCxnSpPr/>
      </xdr:nvCxnSpPr>
      <xdr:spPr>
        <a:xfrm flipH="1">
          <a:off x="4222750" y="7670800"/>
          <a:ext cx="2870200" cy="0"/>
        </a:xfrm>
        <a:prstGeom prst="straightConnector1">
          <a:avLst/>
        </a:prstGeom>
        <a:ln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182562</xdr:colOff>
      <xdr:row>32</xdr:row>
      <xdr:rowOff>269875</xdr:rowOff>
    </xdr:from>
    <xdr:to>
      <xdr:col>23</xdr:col>
      <xdr:colOff>23812</xdr:colOff>
      <xdr:row>32</xdr:row>
      <xdr:rowOff>269875</xdr:rowOff>
    </xdr:to>
    <xdr:cxnSp macro="">
      <xdr:nvCxnSpPr>
        <xdr:cNvPr id="6" name="Straight Arrow Connector 5">
          <a:extLst>
            <a:ext uri="{FF2B5EF4-FFF2-40B4-BE49-F238E27FC236}">
              <a16:creationId xmlns="" xmlns:a16="http://schemas.microsoft.com/office/drawing/2014/main" id="{C689DDE7-017A-41D2-AEC7-DA03B1CDB42A}"/>
            </a:ext>
          </a:extLst>
        </xdr:cNvPr>
        <xdr:cNvCxnSpPr/>
      </xdr:nvCxnSpPr>
      <xdr:spPr>
        <a:xfrm>
          <a:off x="7116762" y="7956550"/>
          <a:ext cx="784225" cy="0"/>
        </a:xfrm>
        <a:prstGeom prst="straightConnector1">
          <a:avLst/>
        </a:prstGeom>
        <a:ln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128588</xdr:colOff>
      <xdr:row>63</xdr:row>
      <xdr:rowOff>103188</xdr:rowOff>
    </xdr:from>
    <xdr:to>
      <xdr:col>25</xdr:col>
      <xdr:colOff>103187</xdr:colOff>
      <xdr:row>63</xdr:row>
      <xdr:rowOff>104776</xdr:rowOff>
    </xdr:to>
    <xdr:cxnSp macro="">
      <xdr:nvCxnSpPr>
        <xdr:cNvPr id="7" name="Straight Arrow Connector 6">
          <a:extLst>
            <a:ext uri="{FF2B5EF4-FFF2-40B4-BE49-F238E27FC236}">
              <a16:creationId xmlns="" xmlns:a16="http://schemas.microsoft.com/office/drawing/2014/main" id="{DB279AE1-6A99-4F85-8A99-2F1F05A000B1}"/>
            </a:ext>
          </a:extLst>
        </xdr:cNvPr>
        <xdr:cNvCxnSpPr/>
      </xdr:nvCxnSpPr>
      <xdr:spPr>
        <a:xfrm flipH="1">
          <a:off x="7691438" y="11266488"/>
          <a:ext cx="917574" cy="1588"/>
        </a:xfrm>
        <a:prstGeom prst="straightConnector1">
          <a:avLst/>
        </a:prstGeom>
        <a:ln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176212</xdr:colOff>
      <xdr:row>68</xdr:row>
      <xdr:rowOff>103187</xdr:rowOff>
    </xdr:from>
    <xdr:to>
      <xdr:col>15</xdr:col>
      <xdr:colOff>79374</xdr:colOff>
      <xdr:row>68</xdr:row>
      <xdr:rowOff>112712</xdr:rowOff>
    </xdr:to>
    <xdr:cxnSp macro="">
      <xdr:nvCxnSpPr>
        <xdr:cNvPr id="8" name="Straight Arrow Connector 7">
          <a:extLst>
            <a:ext uri="{FF2B5EF4-FFF2-40B4-BE49-F238E27FC236}">
              <a16:creationId xmlns="" xmlns:a16="http://schemas.microsoft.com/office/drawing/2014/main" id="{CF20FD78-8A82-4037-82A3-8635A64CD2FB}"/>
            </a:ext>
          </a:extLst>
        </xdr:cNvPr>
        <xdr:cNvCxnSpPr/>
      </xdr:nvCxnSpPr>
      <xdr:spPr>
        <a:xfrm flipV="1">
          <a:off x="4757737" y="11504612"/>
          <a:ext cx="588962" cy="9525"/>
        </a:xfrm>
        <a:prstGeom prst="straightConnector1">
          <a:avLst/>
        </a:prstGeom>
        <a:ln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127000</xdr:colOff>
      <xdr:row>13</xdr:row>
      <xdr:rowOff>95249</xdr:rowOff>
    </xdr:from>
    <xdr:to>
      <xdr:col>10</xdr:col>
      <xdr:colOff>135341</xdr:colOff>
      <xdr:row>26</xdr:row>
      <xdr:rowOff>90487</xdr:rowOff>
    </xdr:to>
    <xdr:pic>
      <xdr:nvPicPr>
        <xdr:cNvPr id="9" name="Picture 8">
          <a:extLst>
            <a:ext uri="{FF2B5EF4-FFF2-40B4-BE49-F238E27FC236}">
              <a16:creationId xmlns="" xmlns:a16="http://schemas.microsoft.com/office/drawing/2014/main" id="{50DB4A1D-5F7E-47F0-8557-0AB80B8AD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2962274"/>
          <a:ext cx="3675466" cy="2719388"/>
        </a:xfrm>
        <a:prstGeom prst="rect">
          <a:avLst/>
        </a:prstGeom>
      </xdr:spPr>
    </xdr:pic>
    <xdr:clientData/>
  </xdr:twoCellAnchor>
  <xdr:twoCellAnchor editAs="oneCell">
    <xdr:from>
      <xdr:col>1</xdr:col>
      <xdr:colOff>55562</xdr:colOff>
      <xdr:row>92</xdr:row>
      <xdr:rowOff>103188</xdr:rowOff>
    </xdr:from>
    <xdr:to>
      <xdr:col>24</xdr:col>
      <xdr:colOff>145304</xdr:colOff>
      <xdr:row>105</xdr:row>
      <xdr:rowOff>179388</xdr:rowOff>
    </xdr:to>
    <xdr:pic>
      <xdr:nvPicPr>
        <xdr:cNvPr id="10" name="Picture 9">
          <a:extLst>
            <a:ext uri="{FF2B5EF4-FFF2-40B4-BE49-F238E27FC236}">
              <a16:creationId xmlns="" xmlns:a16="http://schemas.microsoft.com/office/drawing/2014/main" id="{A5616D5B-9158-4D84-98F1-60F810D97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062" y="15914688"/>
          <a:ext cx="8528892" cy="2590800"/>
        </a:xfrm>
        <a:prstGeom prst="rect">
          <a:avLst/>
        </a:prstGeom>
      </xdr:spPr>
    </xdr:pic>
    <xdr:clientData/>
  </xdr:twoCellAnchor>
  <xdr:twoCellAnchor editAs="oneCell">
    <xdr:from>
      <xdr:col>2</xdr:col>
      <xdr:colOff>293686</xdr:colOff>
      <xdr:row>114</xdr:row>
      <xdr:rowOff>63499</xdr:rowOff>
    </xdr:from>
    <xdr:to>
      <xdr:col>11</xdr:col>
      <xdr:colOff>161924</xdr:colOff>
      <xdr:row>126</xdr:row>
      <xdr:rowOff>154346</xdr:rowOff>
    </xdr:to>
    <xdr:pic>
      <xdr:nvPicPr>
        <xdr:cNvPr id="11" name="Picture 10">
          <a:extLst>
            <a:ext uri="{FF2B5EF4-FFF2-40B4-BE49-F238E27FC236}">
              <a16:creationId xmlns="" xmlns:a16="http://schemas.microsoft.com/office/drawing/2014/main" id="{0979158A-AF3B-4746-896D-57407D919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711" y="20161249"/>
          <a:ext cx="3678238" cy="2376847"/>
        </a:xfrm>
        <a:prstGeom prst="rect">
          <a:avLst/>
        </a:prstGeom>
      </xdr:spPr>
    </xdr:pic>
    <xdr:clientData/>
  </xdr:twoCellAnchor>
  <xdr:twoCellAnchor editAs="oneCell">
    <xdr:from>
      <xdr:col>15</xdr:col>
      <xdr:colOff>375122</xdr:colOff>
      <xdr:row>114</xdr:row>
      <xdr:rowOff>95251</xdr:rowOff>
    </xdr:from>
    <xdr:to>
      <xdr:col>26</xdr:col>
      <xdr:colOff>666750</xdr:colOff>
      <xdr:row>126</xdr:row>
      <xdr:rowOff>113601</xdr:rowOff>
    </xdr:to>
    <xdr:pic>
      <xdr:nvPicPr>
        <xdr:cNvPr id="12" name="Picture 11">
          <a:extLst>
            <a:ext uri="{FF2B5EF4-FFF2-40B4-BE49-F238E27FC236}">
              <a16:creationId xmlns="" xmlns:a16="http://schemas.microsoft.com/office/drawing/2014/main" id="{7A069F63-579B-4777-86E3-BEED6CC79C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2447" y="20193001"/>
          <a:ext cx="3844453" cy="2304350"/>
        </a:xfrm>
        <a:prstGeom prst="rect">
          <a:avLst/>
        </a:prstGeom>
      </xdr:spPr>
    </xdr:pic>
    <xdr:clientData/>
  </xdr:twoCellAnchor>
  <xdr:twoCellAnchor>
    <xdr:from>
      <xdr:col>15</xdr:col>
      <xdr:colOff>365124</xdr:colOff>
      <xdr:row>126</xdr:row>
      <xdr:rowOff>15875</xdr:rowOff>
    </xdr:from>
    <xdr:to>
      <xdr:col>26</xdr:col>
      <xdr:colOff>555625</xdr:colOff>
      <xdr:row>127</xdr:row>
      <xdr:rowOff>95250</xdr:rowOff>
    </xdr:to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A932D65-6C00-4DCA-A9A5-531570C158CB}"/>
            </a:ext>
          </a:extLst>
        </xdr:cNvPr>
        <xdr:cNvSpPr txBox="1"/>
      </xdr:nvSpPr>
      <xdr:spPr>
        <a:xfrm>
          <a:off x="5632449" y="22399625"/>
          <a:ext cx="3743326" cy="269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rgbClr val="0070C0"/>
              </a:solidFill>
            </a:rPr>
            <a:t>            </a:t>
          </a:r>
          <a:r>
            <a:rPr lang="en-US" sz="1100" b="1" baseline="0">
              <a:solidFill>
                <a:srgbClr val="0070C0"/>
              </a:solidFill>
            </a:rPr>
            <a:t> F                D                C               C               B                A</a:t>
          </a:r>
          <a:r>
            <a:rPr lang="en-US" sz="1100" b="1">
              <a:solidFill>
                <a:srgbClr val="0070C0"/>
              </a:solidFill>
            </a:rPr>
            <a:t>             </a:t>
          </a:r>
        </a:p>
      </xdr:txBody>
    </xdr:sp>
    <xdr:clientData/>
  </xdr:twoCellAnchor>
  <xdr:twoCellAnchor editAs="oneCell">
    <xdr:from>
      <xdr:col>9</xdr:col>
      <xdr:colOff>174623</xdr:colOff>
      <xdr:row>158</xdr:row>
      <xdr:rowOff>95250</xdr:rowOff>
    </xdr:from>
    <xdr:to>
      <xdr:col>18</xdr:col>
      <xdr:colOff>46036</xdr:colOff>
      <xdr:row>169</xdr:row>
      <xdr:rowOff>112393</xdr:rowOff>
    </xdr:to>
    <xdr:pic>
      <xdr:nvPicPr>
        <xdr:cNvPr id="14" name="Picture 13">
          <a:extLst>
            <a:ext uri="{FF2B5EF4-FFF2-40B4-BE49-F238E27FC236}">
              <a16:creationId xmlns="" xmlns:a16="http://schemas.microsoft.com/office/drawing/2014/main" id="{E2AEA9DC-8E19-4356-8360-2DC93961C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8323" y="25984200"/>
          <a:ext cx="3519488" cy="211264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158</xdr:row>
      <xdr:rowOff>63973</xdr:rowOff>
    </xdr:from>
    <xdr:to>
      <xdr:col>8</xdr:col>
      <xdr:colOff>298450</xdr:colOff>
      <xdr:row>171</xdr:row>
      <xdr:rowOff>3175</xdr:rowOff>
    </xdr:to>
    <xdr:pic>
      <xdr:nvPicPr>
        <xdr:cNvPr id="15" name="Picture 14">
          <a:extLst>
            <a:ext uri="{FF2B5EF4-FFF2-40B4-BE49-F238E27FC236}">
              <a16:creationId xmlns="" xmlns:a16="http://schemas.microsoft.com/office/drawing/2014/main" id="{F7EBD242-0F25-4C79-BB17-8AD2ABF65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25952923"/>
          <a:ext cx="2346325" cy="2415702"/>
        </a:xfrm>
        <a:prstGeom prst="rect">
          <a:avLst/>
        </a:prstGeom>
      </xdr:spPr>
    </xdr:pic>
    <xdr:clientData/>
  </xdr:twoCellAnchor>
  <xdr:twoCellAnchor>
    <xdr:from>
      <xdr:col>9</xdr:col>
      <xdr:colOff>209550</xdr:colOff>
      <xdr:row>163</xdr:row>
      <xdr:rowOff>133350</xdr:rowOff>
    </xdr:from>
    <xdr:to>
      <xdr:col>12</xdr:col>
      <xdr:colOff>0</xdr:colOff>
      <xdr:row>167</xdr:row>
      <xdr:rowOff>85725</xdr:rowOff>
    </xdr:to>
    <xdr:sp macro="" textlink="">
      <xdr:nvSpPr>
        <xdr:cNvPr id="16" name="Oval 15">
          <a:extLst>
            <a:ext uri="{FF2B5EF4-FFF2-40B4-BE49-F238E27FC236}">
              <a16:creationId xmlns="" xmlns:a16="http://schemas.microsoft.com/office/drawing/2014/main" id="{1182092C-3C81-4FE3-8E4B-BD115398501B}"/>
            </a:ext>
          </a:extLst>
        </xdr:cNvPr>
        <xdr:cNvSpPr/>
      </xdr:nvSpPr>
      <xdr:spPr>
        <a:xfrm>
          <a:off x="3143250" y="26974800"/>
          <a:ext cx="1123950" cy="7143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246063</xdr:colOff>
      <xdr:row>162</xdr:row>
      <xdr:rowOff>63500</xdr:rowOff>
    </xdr:from>
    <xdr:to>
      <xdr:col>9</xdr:col>
      <xdr:colOff>119062</xdr:colOff>
      <xdr:row>164</xdr:row>
      <xdr:rowOff>47625</xdr:rowOff>
    </xdr:to>
    <xdr:sp macro="" textlink="">
      <xdr:nvSpPr>
        <xdr:cNvPr id="17" name="Oval 16">
          <a:extLst>
            <a:ext uri="{FF2B5EF4-FFF2-40B4-BE49-F238E27FC236}">
              <a16:creationId xmlns="" xmlns:a16="http://schemas.microsoft.com/office/drawing/2014/main" id="{17FB9277-A756-4411-9CDD-3268F0D70E9E}"/>
            </a:ext>
          </a:extLst>
        </xdr:cNvPr>
        <xdr:cNvSpPr/>
      </xdr:nvSpPr>
      <xdr:spPr>
        <a:xfrm>
          <a:off x="436563" y="26714450"/>
          <a:ext cx="2616199" cy="36512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142875</xdr:colOff>
      <xdr:row>162</xdr:row>
      <xdr:rowOff>87313</xdr:rowOff>
    </xdr:from>
    <xdr:to>
      <xdr:col>8</xdr:col>
      <xdr:colOff>412750</xdr:colOff>
      <xdr:row>164</xdr:row>
      <xdr:rowOff>71438</xdr:rowOff>
    </xdr:to>
    <xdr:sp macro="" textlink="">
      <xdr:nvSpPr>
        <xdr:cNvPr id="18" name="Oval 17">
          <a:extLst>
            <a:ext uri="{FF2B5EF4-FFF2-40B4-BE49-F238E27FC236}">
              <a16:creationId xmlns="" xmlns:a16="http://schemas.microsoft.com/office/drawing/2014/main" id="{42F463C9-EDA2-4AA9-8782-7615EA1ED8B0}"/>
            </a:ext>
          </a:extLst>
        </xdr:cNvPr>
        <xdr:cNvSpPr/>
      </xdr:nvSpPr>
      <xdr:spPr>
        <a:xfrm>
          <a:off x="2609850" y="26738263"/>
          <a:ext cx="269875" cy="3651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55562</xdr:colOff>
      <xdr:row>167</xdr:row>
      <xdr:rowOff>25400</xdr:rowOff>
    </xdr:from>
    <xdr:to>
      <xdr:col>12</xdr:col>
      <xdr:colOff>203200</xdr:colOff>
      <xdr:row>169</xdr:row>
      <xdr:rowOff>144463</xdr:rowOff>
    </xdr:to>
    <xdr:sp macro="" textlink="">
      <xdr:nvSpPr>
        <xdr:cNvPr id="19" name="Oval 18">
          <a:extLst>
            <a:ext uri="{FF2B5EF4-FFF2-40B4-BE49-F238E27FC236}">
              <a16:creationId xmlns="" xmlns:a16="http://schemas.microsoft.com/office/drawing/2014/main" id="{F7F9DB4E-95CF-444B-A822-E6B0F4DCA2AC}"/>
            </a:ext>
          </a:extLst>
        </xdr:cNvPr>
        <xdr:cNvSpPr/>
      </xdr:nvSpPr>
      <xdr:spPr>
        <a:xfrm>
          <a:off x="4008437" y="27628850"/>
          <a:ext cx="461963" cy="500063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23812</xdr:colOff>
      <xdr:row>168</xdr:row>
      <xdr:rowOff>91283</xdr:rowOff>
    </xdr:from>
    <xdr:to>
      <xdr:col>11</xdr:col>
      <xdr:colOff>198437</xdr:colOff>
      <xdr:row>168</xdr:row>
      <xdr:rowOff>95250</xdr:rowOff>
    </xdr:to>
    <xdr:cxnSp macro="">
      <xdr:nvCxnSpPr>
        <xdr:cNvPr id="20" name="Straight Arrow Connector 19">
          <a:extLst>
            <a:ext uri="{FF2B5EF4-FFF2-40B4-BE49-F238E27FC236}">
              <a16:creationId xmlns="" xmlns:a16="http://schemas.microsoft.com/office/drawing/2014/main" id="{7583F282-E55D-4E5D-8694-5944C700F3E8}"/>
            </a:ext>
          </a:extLst>
        </xdr:cNvPr>
        <xdr:cNvCxnSpPr/>
      </xdr:nvCxnSpPr>
      <xdr:spPr>
        <a:xfrm flipH="1">
          <a:off x="3976687" y="27885233"/>
          <a:ext cx="174625" cy="396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23813</xdr:colOff>
      <xdr:row>187</xdr:row>
      <xdr:rowOff>166687</xdr:rowOff>
    </xdr:from>
    <xdr:to>
      <xdr:col>10</xdr:col>
      <xdr:colOff>451664</xdr:colOff>
      <xdr:row>197</xdr:row>
      <xdr:rowOff>82548</xdr:rowOff>
    </xdr:to>
    <xdr:pic>
      <xdr:nvPicPr>
        <xdr:cNvPr id="21" name="Picture 20">
          <a:extLst>
            <a:ext uri="{FF2B5EF4-FFF2-40B4-BE49-F238E27FC236}">
              <a16:creationId xmlns="" xmlns:a16="http://schemas.microsoft.com/office/drawing/2014/main" id="{5D04874B-8368-4F2B-AD5E-56E64A284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3488" y="31761112"/>
          <a:ext cx="3075801" cy="1849436"/>
        </a:xfrm>
        <a:prstGeom prst="rect">
          <a:avLst/>
        </a:prstGeom>
      </xdr:spPr>
    </xdr:pic>
    <xdr:clientData/>
  </xdr:twoCellAnchor>
  <xdr:twoCellAnchor>
    <xdr:from>
      <xdr:col>17</xdr:col>
      <xdr:colOff>309563</xdr:colOff>
      <xdr:row>191</xdr:row>
      <xdr:rowOff>182563</xdr:rowOff>
    </xdr:from>
    <xdr:to>
      <xdr:col>19</xdr:col>
      <xdr:colOff>7938</xdr:colOff>
      <xdr:row>195</xdr:row>
      <xdr:rowOff>87313</xdr:rowOff>
    </xdr:to>
    <xdr:sp macro="" textlink="">
      <xdr:nvSpPr>
        <xdr:cNvPr id="22" name="Oval 21">
          <a:extLst>
            <a:ext uri="{FF2B5EF4-FFF2-40B4-BE49-F238E27FC236}">
              <a16:creationId xmlns="" xmlns:a16="http://schemas.microsoft.com/office/drawing/2014/main" id="{49A46B4D-D372-4BEE-A1FB-3E4DAC16CF3F}"/>
            </a:ext>
          </a:extLst>
        </xdr:cNvPr>
        <xdr:cNvSpPr/>
      </xdr:nvSpPr>
      <xdr:spPr>
        <a:xfrm>
          <a:off x="6300788" y="32558038"/>
          <a:ext cx="327025" cy="66675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230188</xdr:colOff>
      <xdr:row>197</xdr:row>
      <xdr:rowOff>142875</xdr:rowOff>
    </xdr:from>
    <xdr:to>
      <xdr:col>12</xdr:col>
      <xdr:colOff>142875</xdr:colOff>
      <xdr:row>200</xdr:row>
      <xdr:rowOff>95250</xdr:rowOff>
    </xdr:to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3884A604-49C0-4136-A846-2FB9FE7BC6FF}"/>
            </a:ext>
          </a:extLst>
        </xdr:cNvPr>
        <xdr:cNvSpPr txBox="1"/>
      </xdr:nvSpPr>
      <xdr:spPr>
        <a:xfrm>
          <a:off x="1125538" y="33670875"/>
          <a:ext cx="3284537" cy="523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rgbClr val="C00000"/>
              </a:solidFill>
            </a:rPr>
            <a:t>  -3            -2          -1           0</a:t>
          </a:r>
          <a:r>
            <a:rPr lang="en-US" sz="1100" b="1" baseline="0">
              <a:solidFill>
                <a:srgbClr val="C00000"/>
              </a:solidFill>
            </a:rPr>
            <a:t>         +1            +2         +3</a:t>
          </a:r>
        </a:p>
        <a:p>
          <a:r>
            <a:rPr lang="en-US" sz="1100" b="1" baseline="0">
              <a:solidFill>
                <a:srgbClr val="C00000"/>
              </a:solidFill>
            </a:rPr>
            <a:t>STANDARDIZED X-VALUES = SDs FROM THE MEAN</a:t>
          </a:r>
          <a:endParaRPr lang="en-US" sz="1100" b="1">
            <a:solidFill>
              <a:srgbClr val="C00000"/>
            </a:solidFill>
          </a:endParaRPr>
        </a:p>
      </xdr:txBody>
    </xdr:sp>
    <xdr:clientData/>
  </xdr:twoCellAnchor>
  <xdr:twoCellAnchor editAs="oneCell">
    <xdr:from>
      <xdr:col>1</xdr:col>
      <xdr:colOff>166687</xdr:colOff>
      <xdr:row>224</xdr:row>
      <xdr:rowOff>15875</xdr:rowOff>
    </xdr:from>
    <xdr:to>
      <xdr:col>19</xdr:col>
      <xdr:colOff>3313</xdr:colOff>
      <xdr:row>257</xdr:row>
      <xdr:rowOff>17462</xdr:rowOff>
    </xdr:to>
    <xdr:pic>
      <xdr:nvPicPr>
        <xdr:cNvPr id="24" name="Picture 23">
          <a:extLst>
            <a:ext uri="{FF2B5EF4-FFF2-40B4-BE49-F238E27FC236}">
              <a16:creationId xmlns="" xmlns:a16="http://schemas.microsoft.com/office/drawing/2014/main" id="{935DCFBF-49AC-471C-A18D-FE1FBC4B3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7" y="39535100"/>
          <a:ext cx="6704151" cy="6288087"/>
        </a:xfrm>
        <a:prstGeom prst="rect">
          <a:avLst/>
        </a:prstGeom>
      </xdr:spPr>
    </xdr:pic>
    <xdr:clientData/>
  </xdr:twoCellAnchor>
  <xdr:twoCellAnchor editAs="oneCell">
    <xdr:from>
      <xdr:col>21</xdr:col>
      <xdr:colOff>49611</xdr:colOff>
      <xdr:row>223</xdr:row>
      <xdr:rowOff>174624</xdr:rowOff>
    </xdr:from>
    <xdr:to>
      <xdr:col>33</xdr:col>
      <xdr:colOff>369474</xdr:colOff>
      <xdr:row>256</xdr:row>
      <xdr:rowOff>174625</xdr:rowOff>
    </xdr:to>
    <xdr:pic>
      <xdr:nvPicPr>
        <xdr:cNvPr id="25" name="Picture 24">
          <a:extLst>
            <a:ext uri="{FF2B5EF4-FFF2-40B4-BE49-F238E27FC236}">
              <a16:creationId xmlns="" xmlns:a16="http://schemas.microsoft.com/office/drawing/2014/main" id="{0AC7D462-992B-4D95-AA01-8BCE005BC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8136" y="39503349"/>
          <a:ext cx="6587313" cy="6286501"/>
        </a:xfrm>
        <a:prstGeom prst="rect">
          <a:avLst/>
        </a:prstGeom>
      </xdr:spPr>
    </xdr:pic>
    <xdr:clientData/>
  </xdr:twoCellAnchor>
  <xdr:twoCellAnchor editAs="oneCell">
    <xdr:from>
      <xdr:col>4</xdr:col>
      <xdr:colOff>7938</xdr:colOff>
      <xdr:row>218</xdr:row>
      <xdr:rowOff>37255</xdr:rowOff>
    </xdr:from>
    <xdr:to>
      <xdr:col>18</xdr:col>
      <xdr:colOff>114301</xdr:colOff>
      <xdr:row>223</xdr:row>
      <xdr:rowOff>136525</xdr:rowOff>
    </xdr:to>
    <xdr:pic>
      <xdr:nvPicPr>
        <xdr:cNvPr id="26" name="Picture 25">
          <a:extLst>
            <a:ext uri="{FF2B5EF4-FFF2-40B4-BE49-F238E27FC236}">
              <a16:creationId xmlns="" xmlns:a16="http://schemas.microsoft.com/office/drawing/2014/main" id="{568BECAD-473B-4F83-B159-CAC04A3928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7613" y="38413480"/>
          <a:ext cx="5640388" cy="1051770"/>
        </a:xfrm>
        <a:prstGeom prst="rect">
          <a:avLst/>
        </a:prstGeom>
      </xdr:spPr>
    </xdr:pic>
    <xdr:clientData/>
  </xdr:twoCellAnchor>
  <xdr:twoCellAnchor>
    <xdr:from>
      <xdr:col>8</xdr:col>
      <xdr:colOff>95250</xdr:colOff>
      <xdr:row>222</xdr:row>
      <xdr:rowOff>0</xdr:rowOff>
    </xdr:from>
    <xdr:to>
      <xdr:col>10</xdr:col>
      <xdr:colOff>63500</xdr:colOff>
      <xdr:row>223</xdr:row>
      <xdr:rowOff>174625</xdr:rowOff>
    </xdr:to>
    <xdr:sp macro="" textlink="">
      <xdr:nvSpPr>
        <xdr:cNvPr id="27" name="Oval 26">
          <a:extLst>
            <a:ext uri="{FF2B5EF4-FFF2-40B4-BE49-F238E27FC236}">
              <a16:creationId xmlns="" xmlns:a16="http://schemas.microsoft.com/office/drawing/2014/main" id="{494027E3-D282-4471-8593-4B18F82AD7D3}"/>
            </a:ext>
          </a:extLst>
        </xdr:cNvPr>
        <xdr:cNvSpPr/>
      </xdr:nvSpPr>
      <xdr:spPr>
        <a:xfrm>
          <a:off x="2562225" y="39138225"/>
          <a:ext cx="1035050" cy="3651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23</xdr:col>
      <xdr:colOff>87313</xdr:colOff>
      <xdr:row>218</xdr:row>
      <xdr:rowOff>18331</xdr:rowOff>
    </xdr:from>
    <xdr:to>
      <xdr:col>32</xdr:col>
      <xdr:colOff>436562</xdr:colOff>
      <xdr:row>223</xdr:row>
      <xdr:rowOff>182563</xdr:rowOff>
    </xdr:to>
    <xdr:pic>
      <xdr:nvPicPr>
        <xdr:cNvPr id="28" name="Picture 27">
          <a:extLst>
            <a:ext uri="{FF2B5EF4-FFF2-40B4-BE49-F238E27FC236}">
              <a16:creationId xmlns="" xmlns:a16="http://schemas.microsoft.com/office/drawing/2014/main" id="{04ECCD04-7A53-47A3-B8DD-FAABF8839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4488" y="38394556"/>
          <a:ext cx="5378449" cy="1116732"/>
        </a:xfrm>
        <a:prstGeom prst="rect">
          <a:avLst/>
        </a:prstGeom>
      </xdr:spPr>
    </xdr:pic>
    <xdr:clientData/>
  </xdr:twoCellAnchor>
  <xdr:twoCellAnchor>
    <xdr:from>
      <xdr:col>26</xdr:col>
      <xdr:colOff>438150</xdr:colOff>
      <xdr:row>222</xdr:row>
      <xdr:rowOff>25400</xdr:rowOff>
    </xdr:from>
    <xdr:to>
      <xdr:col>28</xdr:col>
      <xdr:colOff>17463</xdr:colOff>
      <xdr:row>224</xdr:row>
      <xdr:rowOff>9525</xdr:rowOff>
    </xdr:to>
    <xdr:sp macro="" textlink="">
      <xdr:nvSpPr>
        <xdr:cNvPr id="29" name="Oval 28">
          <a:extLst>
            <a:ext uri="{FF2B5EF4-FFF2-40B4-BE49-F238E27FC236}">
              <a16:creationId xmlns="" xmlns:a16="http://schemas.microsoft.com/office/drawing/2014/main" id="{B85418E8-A15E-4461-84DF-9E48F28C1252}"/>
            </a:ext>
          </a:extLst>
        </xdr:cNvPr>
        <xdr:cNvSpPr/>
      </xdr:nvSpPr>
      <xdr:spPr>
        <a:xfrm>
          <a:off x="9258300" y="39163625"/>
          <a:ext cx="1036638" cy="3651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0</xdr:colOff>
      <xdr:row>221</xdr:row>
      <xdr:rowOff>127000</xdr:rowOff>
    </xdr:from>
    <xdr:to>
      <xdr:col>2</xdr:col>
      <xdr:colOff>190500</xdr:colOff>
      <xdr:row>223</xdr:row>
      <xdr:rowOff>127000</xdr:rowOff>
    </xdr:to>
    <xdr:sp macro="" textlink="">
      <xdr:nvSpPr>
        <xdr:cNvPr id="30" name="Arrow: Down 61">
          <a:extLst>
            <a:ext uri="{FF2B5EF4-FFF2-40B4-BE49-F238E27FC236}">
              <a16:creationId xmlns="" xmlns:a16="http://schemas.microsoft.com/office/drawing/2014/main" id="{8F961CE4-94CA-41B7-B6A4-A7B6CB527090}"/>
            </a:ext>
          </a:extLst>
        </xdr:cNvPr>
        <xdr:cNvSpPr/>
      </xdr:nvSpPr>
      <xdr:spPr>
        <a:xfrm>
          <a:off x="581025" y="39074725"/>
          <a:ext cx="190500" cy="3810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144462</xdr:colOff>
      <xdr:row>221</xdr:row>
      <xdr:rowOff>120649</xdr:rowOff>
    </xdr:from>
    <xdr:to>
      <xdr:col>22</xdr:col>
      <xdr:colOff>17462</xdr:colOff>
      <xdr:row>223</xdr:row>
      <xdr:rowOff>120649</xdr:rowOff>
    </xdr:to>
    <xdr:sp macro="" textlink="">
      <xdr:nvSpPr>
        <xdr:cNvPr id="31" name="Arrow: Down 62">
          <a:extLst>
            <a:ext uri="{FF2B5EF4-FFF2-40B4-BE49-F238E27FC236}">
              <a16:creationId xmlns="" xmlns:a16="http://schemas.microsoft.com/office/drawing/2014/main" id="{5BAC6673-374C-448D-B90F-8173E3A5DC86}"/>
            </a:ext>
          </a:extLst>
        </xdr:cNvPr>
        <xdr:cNvSpPr/>
      </xdr:nvSpPr>
      <xdr:spPr>
        <a:xfrm>
          <a:off x="7392987" y="39068374"/>
          <a:ext cx="187325" cy="3810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412750</xdr:colOff>
      <xdr:row>223</xdr:row>
      <xdr:rowOff>127000</xdr:rowOff>
    </xdr:from>
    <xdr:to>
      <xdr:col>9</xdr:col>
      <xdr:colOff>396875</xdr:colOff>
      <xdr:row>224</xdr:row>
      <xdr:rowOff>174625</xdr:rowOff>
    </xdr:to>
    <xdr:sp macro="" textlink="">
      <xdr:nvSpPr>
        <xdr:cNvPr id="32" name="Oval 31">
          <a:extLst>
            <a:ext uri="{FF2B5EF4-FFF2-40B4-BE49-F238E27FC236}">
              <a16:creationId xmlns="" xmlns:a16="http://schemas.microsoft.com/office/drawing/2014/main" id="{501667AA-CAA1-4056-BCF6-58D4419C8817}"/>
            </a:ext>
          </a:extLst>
        </xdr:cNvPr>
        <xdr:cNvSpPr/>
      </xdr:nvSpPr>
      <xdr:spPr>
        <a:xfrm>
          <a:off x="2879725" y="39455725"/>
          <a:ext cx="450850" cy="23812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215900</xdr:colOff>
      <xdr:row>245</xdr:row>
      <xdr:rowOff>25401</xdr:rowOff>
    </xdr:from>
    <xdr:to>
      <xdr:col>2</xdr:col>
      <xdr:colOff>277812</xdr:colOff>
      <xdr:row>246</xdr:row>
      <xdr:rowOff>71439</xdr:rowOff>
    </xdr:to>
    <xdr:sp macro="" textlink="">
      <xdr:nvSpPr>
        <xdr:cNvPr id="33" name="Oval 32">
          <a:extLst>
            <a:ext uri="{FF2B5EF4-FFF2-40B4-BE49-F238E27FC236}">
              <a16:creationId xmlns="" xmlns:a16="http://schemas.microsoft.com/office/drawing/2014/main" id="{22BB685E-8745-4628-8657-0AA2255A5345}"/>
            </a:ext>
          </a:extLst>
        </xdr:cNvPr>
        <xdr:cNvSpPr/>
      </xdr:nvSpPr>
      <xdr:spPr>
        <a:xfrm>
          <a:off x="406400" y="43545126"/>
          <a:ext cx="452437" cy="236538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58737</xdr:colOff>
      <xdr:row>245</xdr:row>
      <xdr:rowOff>161927</xdr:rowOff>
    </xdr:from>
    <xdr:to>
      <xdr:col>22</xdr:col>
      <xdr:colOff>142875</xdr:colOff>
      <xdr:row>246</xdr:row>
      <xdr:rowOff>166689</xdr:rowOff>
    </xdr:to>
    <xdr:sp macro="" textlink="">
      <xdr:nvSpPr>
        <xdr:cNvPr id="34" name="Oval 33">
          <a:extLst>
            <a:ext uri="{FF2B5EF4-FFF2-40B4-BE49-F238E27FC236}">
              <a16:creationId xmlns="" xmlns:a16="http://schemas.microsoft.com/office/drawing/2014/main" id="{3145856D-21FF-485A-8CED-80B9A2A0433C}"/>
            </a:ext>
          </a:extLst>
        </xdr:cNvPr>
        <xdr:cNvSpPr/>
      </xdr:nvSpPr>
      <xdr:spPr>
        <a:xfrm>
          <a:off x="7307262" y="43681652"/>
          <a:ext cx="398463" cy="195262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28</xdr:col>
      <xdr:colOff>123824</xdr:colOff>
      <xdr:row>223</xdr:row>
      <xdr:rowOff>115888</xdr:rowOff>
    </xdr:from>
    <xdr:to>
      <xdr:col>28</xdr:col>
      <xdr:colOff>576262</xdr:colOff>
      <xdr:row>224</xdr:row>
      <xdr:rowOff>163513</xdr:rowOff>
    </xdr:to>
    <xdr:sp macro="" textlink="">
      <xdr:nvSpPr>
        <xdr:cNvPr id="35" name="Oval 34">
          <a:extLst>
            <a:ext uri="{FF2B5EF4-FFF2-40B4-BE49-F238E27FC236}">
              <a16:creationId xmlns="" xmlns:a16="http://schemas.microsoft.com/office/drawing/2014/main" id="{BDEDD619-C7BE-4E28-A64B-1B4C8A90D430}"/>
            </a:ext>
          </a:extLst>
        </xdr:cNvPr>
        <xdr:cNvSpPr/>
      </xdr:nvSpPr>
      <xdr:spPr>
        <a:xfrm>
          <a:off x="10401299" y="39444613"/>
          <a:ext cx="452438" cy="23812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198438</xdr:colOff>
      <xdr:row>244</xdr:row>
      <xdr:rowOff>134938</xdr:rowOff>
    </xdr:from>
    <xdr:to>
      <xdr:col>9</xdr:col>
      <xdr:colOff>523875</xdr:colOff>
      <xdr:row>247</xdr:row>
      <xdr:rowOff>0</xdr:rowOff>
    </xdr:to>
    <xdr:sp macro="" textlink="">
      <xdr:nvSpPr>
        <xdr:cNvPr id="36" name="Explosion: 8 Points 67">
          <a:extLst>
            <a:ext uri="{FF2B5EF4-FFF2-40B4-BE49-F238E27FC236}">
              <a16:creationId xmlns="" xmlns:a16="http://schemas.microsoft.com/office/drawing/2014/main" id="{4BB9A818-C3B3-4E1A-8D8C-32F881903729}"/>
            </a:ext>
          </a:extLst>
        </xdr:cNvPr>
        <xdr:cNvSpPr/>
      </xdr:nvSpPr>
      <xdr:spPr>
        <a:xfrm>
          <a:off x="2665413" y="43464163"/>
          <a:ext cx="792162" cy="436562"/>
        </a:xfrm>
        <a:prstGeom prst="irregularSeal1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461963</xdr:colOff>
      <xdr:row>245</xdr:row>
      <xdr:rowOff>41275</xdr:rowOff>
    </xdr:from>
    <xdr:to>
      <xdr:col>29</xdr:col>
      <xdr:colOff>33338</xdr:colOff>
      <xdr:row>247</xdr:row>
      <xdr:rowOff>96837</xdr:rowOff>
    </xdr:to>
    <xdr:sp macro="" textlink="">
      <xdr:nvSpPr>
        <xdr:cNvPr id="37" name="Explosion: 8 Points 68">
          <a:extLst>
            <a:ext uri="{FF2B5EF4-FFF2-40B4-BE49-F238E27FC236}">
              <a16:creationId xmlns="" xmlns:a16="http://schemas.microsoft.com/office/drawing/2014/main" id="{870F649E-E1E5-448D-8D30-6BD719B4597B}"/>
            </a:ext>
          </a:extLst>
        </xdr:cNvPr>
        <xdr:cNvSpPr/>
      </xdr:nvSpPr>
      <xdr:spPr>
        <a:xfrm>
          <a:off x="10129838" y="43561000"/>
          <a:ext cx="790575" cy="436562"/>
        </a:xfrm>
        <a:prstGeom prst="irregularSeal1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201613</xdr:colOff>
      <xdr:row>213</xdr:row>
      <xdr:rowOff>31749</xdr:rowOff>
    </xdr:from>
    <xdr:to>
      <xdr:col>24</xdr:col>
      <xdr:colOff>261938</xdr:colOff>
      <xdr:row>214</xdr:row>
      <xdr:rowOff>47625</xdr:rowOff>
    </xdr:to>
    <xdr:sp macro="" textlink="">
      <xdr:nvSpPr>
        <xdr:cNvPr id="38" name="Explosion: 8 Points 69">
          <a:extLst>
            <a:ext uri="{FF2B5EF4-FFF2-40B4-BE49-F238E27FC236}">
              <a16:creationId xmlns="" xmlns:a16="http://schemas.microsoft.com/office/drawing/2014/main" id="{8E122CC0-2B7B-4A43-8D8B-9193B60752C6}"/>
            </a:ext>
          </a:extLst>
        </xdr:cNvPr>
        <xdr:cNvSpPr/>
      </xdr:nvSpPr>
      <xdr:spPr>
        <a:xfrm>
          <a:off x="7764463" y="37074474"/>
          <a:ext cx="688975" cy="282576"/>
        </a:xfrm>
        <a:prstGeom prst="irregularSeal1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55563</xdr:colOff>
      <xdr:row>209</xdr:row>
      <xdr:rowOff>182563</xdr:rowOff>
    </xdr:from>
    <xdr:to>
      <xdr:col>20</xdr:col>
      <xdr:colOff>261938</xdr:colOff>
      <xdr:row>211</xdr:row>
      <xdr:rowOff>23813</xdr:rowOff>
    </xdr:to>
    <xdr:sp macro="" textlink="">
      <xdr:nvSpPr>
        <xdr:cNvPr id="39" name="Oval 38">
          <a:extLst>
            <a:ext uri="{FF2B5EF4-FFF2-40B4-BE49-F238E27FC236}">
              <a16:creationId xmlns="" xmlns:a16="http://schemas.microsoft.com/office/drawing/2014/main" id="{8B859A62-E19B-4CBE-A7E4-11ACF8610878}"/>
            </a:ext>
          </a:extLst>
        </xdr:cNvPr>
        <xdr:cNvSpPr/>
      </xdr:nvSpPr>
      <xdr:spPr>
        <a:xfrm>
          <a:off x="6989763" y="36158488"/>
          <a:ext cx="206375" cy="37465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41275</xdr:colOff>
      <xdr:row>209</xdr:row>
      <xdr:rowOff>215901</xdr:rowOff>
    </xdr:from>
    <xdr:to>
      <xdr:col>23</xdr:col>
      <xdr:colOff>247650</xdr:colOff>
      <xdr:row>211</xdr:row>
      <xdr:rowOff>57151</xdr:rowOff>
    </xdr:to>
    <xdr:sp macro="" textlink="">
      <xdr:nvSpPr>
        <xdr:cNvPr id="40" name="Oval 39">
          <a:extLst>
            <a:ext uri="{FF2B5EF4-FFF2-40B4-BE49-F238E27FC236}">
              <a16:creationId xmlns="" xmlns:a16="http://schemas.microsoft.com/office/drawing/2014/main" id="{47586753-AF1F-4322-BC26-7C10612FD716}"/>
            </a:ext>
          </a:extLst>
        </xdr:cNvPr>
        <xdr:cNvSpPr/>
      </xdr:nvSpPr>
      <xdr:spPr>
        <a:xfrm>
          <a:off x="7918450" y="36191826"/>
          <a:ext cx="206375" cy="37465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14</xdr:col>
      <xdr:colOff>295275</xdr:colOff>
      <xdr:row>273</xdr:row>
      <xdr:rowOff>19050</xdr:rowOff>
    </xdr:from>
    <xdr:to>
      <xdr:col>23</xdr:col>
      <xdr:colOff>219075</xdr:colOff>
      <xdr:row>281</xdr:row>
      <xdr:rowOff>152400</xdr:rowOff>
    </xdr:to>
    <xdr:pic>
      <xdr:nvPicPr>
        <xdr:cNvPr id="47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7325" y="59626500"/>
          <a:ext cx="2905125" cy="1666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285750</xdr:colOff>
      <xdr:row>273</xdr:row>
      <xdr:rowOff>47625</xdr:rowOff>
    </xdr:from>
    <xdr:to>
      <xdr:col>11</xdr:col>
      <xdr:colOff>0</xdr:colOff>
      <xdr:row>281</xdr:row>
      <xdr:rowOff>180975</xdr:rowOff>
    </xdr:to>
    <xdr:pic>
      <xdr:nvPicPr>
        <xdr:cNvPr id="49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59655075"/>
          <a:ext cx="2895600" cy="1666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142875</xdr:colOff>
      <xdr:row>344</xdr:row>
      <xdr:rowOff>171450</xdr:rowOff>
    </xdr:from>
    <xdr:to>
      <xdr:col>14</xdr:col>
      <xdr:colOff>285750</xdr:colOff>
      <xdr:row>361</xdr:row>
      <xdr:rowOff>38100</xdr:rowOff>
    </xdr:to>
    <xdr:pic>
      <xdr:nvPicPr>
        <xdr:cNvPr id="53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5" y="72847200"/>
          <a:ext cx="3248025" cy="3267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190500</xdr:colOff>
      <xdr:row>367</xdr:row>
      <xdr:rowOff>57150</xdr:rowOff>
    </xdr:from>
    <xdr:to>
      <xdr:col>14</xdr:col>
      <xdr:colOff>157204</xdr:colOff>
      <xdr:row>379</xdr:row>
      <xdr:rowOff>104775</xdr:rowOff>
    </xdr:to>
    <xdr:pic>
      <xdr:nvPicPr>
        <xdr:cNvPr id="57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" y="77333475"/>
          <a:ext cx="3386179" cy="2447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492"/>
  <sheetViews>
    <sheetView tabSelected="1" zoomScaleNormal="100" workbookViewId="0">
      <selection activeCell="F341" sqref="F341"/>
    </sheetView>
  </sheetViews>
  <sheetFormatPr defaultRowHeight="15" x14ac:dyDescent="0.25"/>
  <cols>
    <col min="1" max="1" width="2.85546875" customWidth="1"/>
    <col min="2" max="2" width="5.85546875" customWidth="1"/>
    <col min="3" max="5" width="4.7109375" customWidth="1"/>
    <col min="6" max="6" width="5.85546875" customWidth="1"/>
    <col min="7" max="7" width="4.7109375" customWidth="1"/>
    <col min="8" max="8" width="6" customWidth="1"/>
    <col min="9" max="9" width="7" customWidth="1"/>
    <col min="10" max="10" width="11.42578125" customWidth="1"/>
    <col min="11" max="11" width="8" customWidth="1"/>
    <col min="12" max="14" width="4.7109375" customWidth="1"/>
    <col min="15" max="15" width="5.5703125" customWidth="1"/>
    <col min="16" max="16" width="6.140625" customWidth="1"/>
    <col min="17" max="26" width="4.7109375" customWidth="1"/>
    <col min="27" max="27" width="12.7109375" customWidth="1"/>
    <col min="28" max="28" width="12" bestFit="1" customWidth="1"/>
    <col min="31" max="31" width="9.140625" customWidth="1"/>
  </cols>
  <sheetData>
    <row r="1" spans="2:52" ht="23.25" x14ac:dyDescent="0.35">
      <c r="B1" s="1" t="s">
        <v>0</v>
      </c>
    </row>
    <row r="2" spans="2:52" ht="18.75" x14ac:dyDescent="0.3">
      <c r="B2" s="4" t="s">
        <v>1</v>
      </c>
    </row>
    <row r="3" spans="2:52" ht="18.75" x14ac:dyDescent="0.3">
      <c r="B3" s="17" t="s">
        <v>46</v>
      </c>
    </row>
    <row r="4" spans="2:52" ht="18.75" x14ac:dyDescent="0.3">
      <c r="B4" s="4"/>
    </row>
    <row r="5" spans="2:52" ht="18.75" x14ac:dyDescent="0.3">
      <c r="B5" s="4" t="s">
        <v>48</v>
      </c>
    </row>
    <row r="6" spans="2:52" ht="18.75" x14ac:dyDescent="0.3">
      <c r="B6" s="4" t="s">
        <v>165</v>
      </c>
    </row>
    <row r="8" spans="2:52" ht="18.75" x14ac:dyDescent="0.3">
      <c r="B8" s="4" t="s">
        <v>52</v>
      </c>
      <c r="AB8" s="72" t="s">
        <v>184</v>
      </c>
    </row>
    <row r="10" spans="2:52" x14ac:dyDescent="0.25">
      <c r="B10" s="12">
        <v>1</v>
      </c>
      <c r="C10" s="12">
        <v>11</v>
      </c>
      <c r="D10" s="12">
        <v>13</v>
      </c>
      <c r="E10" s="12">
        <v>15</v>
      </c>
      <c r="F10" s="12">
        <v>20</v>
      </c>
      <c r="G10" s="12">
        <v>21</v>
      </c>
      <c r="H10" s="12">
        <v>21</v>
      </c>
      <c r="I10" s="12">
        <v>25</v>
      </c>
      <c r="J10" s="12">
        <v>26</v>
      </c>
      <c r="K10" s="12">
        <v>26</v>
      </c>
      <c r="L10" s="12">
        <v>26</v>
      </c>
      <c r="M10" s="12">
        <v>28</v>
      </c>
      <c r="N10" s="12">
        <v>28</v>
      </c>
      <c r="O10" s="12">
        <v>30</v>
      </c>
      <c r="P10" s="12">
        <v>30</v>
      </c>
      <c r="Q10" s="12">
        <v>31</v>
      </c>
      <c r="R10" s="12">
        <v>32</v>
      </c>
      <c r="S10" s="12">
        <v>32</v>
      </c>
      <c r="T10" s="12">
        <v>32</v>
      </c>
      <c r="U10" s="12">
        <v>33</v>
      </c>
      <c r="V10" s="12">
        <v>35</v>
      </c>
      <c r="W10" s="12">
        <v>36</v>
      </c>
      <c r="X10" s="12">
        <v>36</v>
      </c>
      <c r="Y10" s="5">
        <v>37</v>
      </c>
      <c r="Z10" s="5">
        <v>38</v>
      </c>
      <c r="AB10">
        <f>IF(AND(B10&gt;=30,B10&lt;=60),1,0)</f>
        <v>0</v>
      </c>
      <c r="AC10">
        <f t="shared" ref="AC10:AZ10" si="0">IF(AND(C10&gt;=30,C10&lt;=60),1,0)</f>
        <v>0</v>
      </c>
      <c r="AD10">
        <f t="shared" si="0"/>
        <v>0</v>
      </c>
      <c r="AE10">
        <f t="shared" si="0"/>
        <v>0</v>
      </c>
      <c r="AF10">
        <f t="shared" si="0"/>
        <v>0</v>
      </c>
      <c r="AG10">
        <f t="shared" si="0"/>
        <v>0</v>
      </c>
      <c r="AH10">
        <f t="shared" si="0"/>
        <v>0</v>
      </c>
      <c r="AI10">
        <f t="shared" si="0"/>
        <v>0</v>
      </c>
      <c r="AJ10">
        <f t="shared" si="0"/>
        <v>0</v>
      </c>
      <c r="AK10">
        <f t="shared" si="0"/>
        <v>0</v>
      </c>
      <c r="AL10">
        <f t="shared" si="0"/>
        <v>0</v>
      </c>
      <c r="AM10">
        <f t="shared" si="0"/>
        <v>0</v>
      </c>
      <c r="AN10">
        <f t="shared" si="0"/>
        <v>0</v>
      </c>
      <c r="AO10">
        <f t="shared" si="0"/>
        <v>1</v>
      </c>
      <c r="AP10">
        <f t="shared" si="0"/>
        <v>1</v>
      </c>
      <c r="AQ10">
        <f t="shared" si="0"/>
        <v>1</v>
      </c>
      <c r="AR10">
        <f t="shared" si="0"/>
        <v>1</v>
      </c>
      <c r="AS10">
        <f t="shared" si="0"/>
        <v>1</v>
      </c>
      <c r="AT10">
        <f t="shared" si="0"/>
        <v>1</v>
      </c>
      <c r="AU10">
        <f t="shared" si="0"/>
        <v>1</v>
      </c>
      <c r="AV10">
        <f t="shared" si="0"/>
        <v>1</v>
      </c>
      <c r="AW10">
        <f t="shared" si="0"/>
        <v>1</v>
      </c>
      <c r="AX10">
        <f t="shared" si="0"/>
        <v>1</v>
      </c>
      <c r="AY10">
        <f t="shared" si="0"/>
        <v>1</v>
      </c>
      <c r="AZ10">
        <f t="shared" si="0"/>
        <v>1</v>
      </c>
    </row>
    <row r="11" spans="2:52" x14ac:dyDescent="0.25">
      <c r="B11" s="12">
        <v>38</v>
      </c>
      <c r="C11" s="12">
        <v>38</v>
      </c>
      <c r="D11" s="12">
        <v>38</v>
      </c>
      <c r="E11" s="12">
        <v>39</v>
      </c>
      <c r="F11" s="12">
        <v>39</v>
      </c>
      <c r="G11" s="12">
        <v>39</v>
      </c>
      <c r="H11" s="12">
        <v>40</v>
      </c>
      <c r="I11" s="12">
        <v>40</v>
      </c>
      <c r="J11" s="12">
        <v>40</v>
      </c>
      <c r="K11" s="12">
        <v>40</v>
      </c>
      <c r="L11" s="12">
        <v>41</v>
      </c>
      <c r="M11" s="12">
        <v>41</v>
      </c>
      <c r="N11" s="12">
        <v>41</v>
      </c>
      <c r="O11" s="12">
        <v>41</v>
      </c>
      <c r="P11" s="12">
        <v>42</v>
      </c>
      <c r="Q11" s="12">
        <v>43</v>
      </c>
      <c r="R11" s="12">
        <v>43</v>
      </c>
      <c r="S11" s="12">
        <v>43</v>
      </c>
      <c r="T11" s="12">
        <v>43</v>
      </c>
      <c r="U11" s="12">
        <v>43</v>
      </c>
      <c r="V11" s="12">
        <v>44</v>
      </c>
      <c r="W11" s="12">
        <v>45</v>
      </c>
      <c r="X11" s="12">
        <v>45</v>
      </c>
      <c r="Y11" s="5">
        <v>46</v>
      </c>
      <c r="Z11" s="5">
        <v>46</v>
      </c>
      <c r="AA11" s="5"/>
      <c r="AB11">
        <f t="shared" ref="AB11:AB13" si="1">IF(AND(B11&gt;=30,B11&lt;=60),1,0)</f>
        <v>1</v>
      </c>
      <c r="AC11">
        <f t="shared" ref="AC11:AC12" si="2">IF(AND(C11&gt;=30,C11&lt;=60),1,0)</f>
        <v>1</v>
      </c>
      <c r="AD11">
        <f t="shared" ref="AD11:AD13" si="3">IF(AND(D11&gt;=30,D11&lt;=60),1,0)</f>
        <v>1</v>
      </c>
      <c r="AE11">
        <f t="shared" ref="AE11:AE13" si="4">IF(AND(E11&gt;=30,E11&lt;=60),1,0)</f>
        <v>1</v>
      </c>
      <c r="AF11">
        <f t="shared" ref="AF11:AF13" si="5">IF(AND(F11&gt;=30,F11&lt;=60),1,0)</f>
        <v>1</v>
      </c>
      <c r="AG11">
        <f t="shared" ref="AG11:AG13" si="6">IF(AND(G11&gt;=30,G11&lt;=60),1,0)</f>
        <v>1</v>
      </c>
      <c r="AH11">
        <f t="shared" ref="AH11:AH13" si="7">IF(AND(H11&gt;=30,H11&lt;=60),1,0)</f>
        <v>1</v>
      </c>
      <c r="AI11">
        <f t="shared" ref="AI11:AI13" si="8">IF(AND(I11&gt;=30,I11&lt;=60),1,0)</f>
        <v>1</v>
      </c>
      <c r="AJ11">
        <f t="shared" ref="AJ11:AJ13" si="9">IF(AND(J11&gt;=30,J11&lt;=60),1,0)</f>
        <v>1</v>
      </c>
      <c r="AK11">
        <f t="shared" ref="AK11:AK13" si="10">IF(AND(K11&gt;=30,K11&lt;=60),1,0)</f>
        <v>1</v>
      </c>
      <c r="AL11">
        <f t="shared" ref="AL11:AL13" si="11">IF(AND(L11&gt;=30,L11&lt;=60),1,0)</f>
        <v>1</v>
      </c>
      <c r="AM11">
        <f t="shared" ref="AM11:AM13" si="12">IF(AND(M11&gt;=30,M11&lt;=60),1,0)</f>
        <v>1</v>
      </c>
      <c r="AN11">
        <f t="shared" ref="AN11:AN13" si="13">IF(AND(N11&gt;=30,N11&lt;=60),1,0)</f>
        <v>1</v>
      </c>
      <c r="AO11">
        <f t="shared" ref="AO11:AO13" si="14">IF(AND(O11&gt;=30,O11&lt;=60),1,0)</f>
        <v>1</v>
      </c>
      <c r="AP11">
        <f t="shared" ref="AP11:AP13" si="15">IF(AND(P11&gt;=30,P11&lt;=60),1,0)</f>
        <v>1</v>
      </c>
      <c r="AQ11">
        <f t="shared" ref="AQ11:AQ13" si="16">IF(AND(Q11&gt;=30,Q11&lt;=60),1,0)</f>
        <v>1</v>
      </c>
      <c r="AR11">
        <f t="shared" ref="AR11:AR13" si="17">IF(AND(R11&gt;=30,R11&lt;=60),1,0)</f>
        <v>1</v>
      </c>
      <c r="AS11">
        <f t="shared" ref="AS11:AS13" si="18">IF(AND(S11&gt;=30,S11&lt;=60),1,0)</f>
        <v>1</v>
      </c>
      <c r="AT11">
        <f t="shared" ref="AT11:AT13" si="19">IF(AND(T11&gt;=30,T11&lt;=60),1,0)</f>
        <v>1</v>
      </c>
      <c r="AU11">
        <f t="shared" ref="AU11:AU13" si="20">IF(AND(U11&gt;=30,U11&lt;=60),1,0)</f>
        <v>1</v>
      </c>
      <c r="AV11">
        <f t="shared" ref="AV11:AV13" si="21">IF(AND(V11&gt;=30,V11&lt;=60),1,0)</f>
        <v>1</v>
      </c>
      <c r="AW11">
        <f t="shared" ref="AW11:AW13" si="22">IF(AND(W11&gt;=30,W11&lt;=60),1,0)</f>
        <v>1</v>
      </c>
      <c r="AX11">
        <f t="shared" ref="AX11:AX13" si="23">IF(AND(X11&gt;=30,X11&lt;=60),1,0)</f>
        <v>1</v>
      </c>
      <c r="AY11">
        <f t="shared" ref="AY11:AY13" si="24">IF(AND(Y11&gt;=30,Y11&lt;=60),1,0)</f>
        <v>1</v>
      </c>
      <c r="AZ11">
        <f t="shared" ref="AZ11:AZ13" si="25">IF(AND(Z11&gt;=30,Z11&lt;=60),1,0)</f>
        <v>1</v>
      </c>
    </row>
    <row r="12" spans="2:52" x14ac:dyDescent="0.25">
      <c r="B12" s="12">
        <v>46</v>
      </c>
      <c r="C12" s="12">
        <v>46</v>
      </c>
      <c r="D12" s="12">
        <v>47</v>
      </c>
      <c r="E12" s="12">
        <v>47</v>
      </c>
      <c r="F12" s="12">
        <v>47</v>
      </c>
      <c r="G12" s="12">
        <v>47</v>
      </c>
      <c r="H12" s="12">
        <v>48</v>
      </c>
      <c r="I12" s="12">
        <v>48</v>
      </c>
      <c r="J12" s="12">
        <v>48</v>
      </c>
      <c r="K12" s="12">
        <v>48</v>
      </c>
      <c r="L12" s="12">
        <v>49</v>
      </c>
      <c r="M12" s="12">
        <v>49</v>
      </c>
      <c r="N12" s="12">
        <v>49</v>
      </c>
      <c r="O12" s="12">
        <v>50</v>
      </c>
      <c r="P12" s="12">
        <v>50</v>
      </c>
      <c r="Q12" s="12">
        <v>51</v>
      </c>
      <c r="R12" s="12">
        <v>51</v>
      </c>
      <c r="S12" s="12">
        <v>51</v>
      </c>
      <c r="T12" s="12">
        <v>51</v>
      </c>
      <c r="U12" s="12">
        <v>52</v>
      </c>
      <c r="V12" s="12">
        <v>52</v>
      </c>
      <c r="W12" s="12">
        <v>53</v>
      </c>
      <c r="X12" s="12">
        <v>53</v>
      </c>
      <c r="Y12" s="5">
        <v>53</v>
      </c>
      <c r="Z12" s="5">
        <v>53</v>
      </c>
      <c r="AB12">
        <f t="shared" si="1"/>
        <v>1</v>
      </c>
      <c r="AC12">
        <f t="shared" si="2"/>
        <v>1</v>
      </c>
      <c r="AD12">
        <f t="shared" si="3"/>
        <v>1</v>
      </c>
      <c r="AE12">
        <f t="shared" si="4"/>
        <v>1</v>
      </c>
      <c r="AF12">
        <f t="shared" si="5"/>
        <v>1</v>
      </c>
      <c r="AG12">
        <f t="shared" si="6"/>
        <v>1</v>
      </c>
      <c r="AH12">
        <f t="shared" si="7"/>
        <v>1</v>
      </c>
      <c r="AI12">
        <f t="shared" si="8"/>
        <v>1</v>
      </c>
      <c r="AJ12">
        <f t="shared" si="9"/>
        <v>1</v>
      </c>
      <c r="AK12">
        <f t="shared" si="10"/>
        <v>1</v>
      </c>
      <c r="AL12">
        <f t="shared" si="11"/>
        <v>1</v>
      </c>
      <c r="AM12">
        <f t="shared" si="12"/>
        <v>1</v>
      </c>
      <c r="AN12">
        <f t="shared" si="13"/>
        <v>1</v>
      </c>
      <c r="AO12">
        <f t="shared" si="14"/>
        <v>1</v>
      </c>
      <c r="AP12">
        <f t="shared" si="15"/>
        <v>1</v>
      </c>
      <c r="AQ12">
        <f t="shared" si="16"/>
        <v>1</v>
      </c>
      <c r="AR12">
        <f t="shared" si="17"/>
        <v>1</v>
      </c>
      <c r="AS12">
        <f t="shared" si="18"/>
        <v>1</v>
      </c>
      <c r="AT12">
        <f t="shared" si="19"/>
        <v>1</v>
      </c>
      <c r="AU12">
        <f t="shared" si="20"/>
        <v>1</v>
      </c>
      <c r="AV12">
        <f t="shared" si="21"/>
        <v>1</v>
      </c>
      <c r="AW12">
        <f t="shared" si="22"/>
        <v>1</v>
      </c>
      <c r="AX12">
        <f t="shared" si="23"/>
        <v>1</v>
      </c>
      <c r="AY12">
        <f t="shared" si="24"/>
        <v>1</v>
      </c>
      <c r="AZ12">
        <f t="shared" si="25"/>
        <v>1</v>
      </c>
    </row>
    <row r="13" spans="2:52" x14ac:dyDescent="0.25">
      <c r="B13" s="12">
        <v>54</v>
      </c>
      <c r="C13" s="12">
        <v>54</v>
      </c>
      <c r="D13" s="12">
        <v>55</v>
      </c>
      <c r="E13" s="12">
        <v>55</v>
      </c>
      <c r="F13" s="12">
        <v>55</v>
      </c>
      <c r="G13" s="12">
        <v>55</v>
      </c>
      <c r="H13" s="12">
        <v>56</v>
      </c>
      <c r="I13" s="12">
        <v>57</v>
      </c>
      <c r="J13" s="12">
        <v>59</v>
      </c>
      <c r="K13" s="12">
        <v>60</v>
      </c>
      <c r="L13" s="12">
        <v>61</v>
      </c>
      <c r="M13" s="12">
        <v>61</v>
      </c>
      <c r="N13" s="12">
        <v>63</v>
      </c>
      <c r="O13" s="12">
        <v>63</v>
      </c>
      <c r="P13" s="12">
        <v>64</v>
      </c>
      <c r="Q13" s="12">
        <v>65</v>
      </c>
      <c r="R13" s="12">
        <v>66</v>
      </c>
      <c r="S13" s="12">
        <v>67</v>
      </c>
      <c r="T13" s="12">
        <v>69</v>
      </c>
      <c r="U13" s="12">
        <v>70</v>
      </c>
      <c r="V13" s="12">
        <v>71</v>
      </c>
      <c r="W13" s="12">
        <v>74</v>
      </c>
      <c r="X13" s="12">
        <v>76</v>
      </c>
      <c r="Y13" s="5">
        <v>79</v>
      </c>
      <c r="Z13" s="5">
        <v>90</v>
      </c>
      <c r="AB13">
        <f t="shared" si="1"/>
        <v>1</v>
      </c>
      <c r="AC13">
        <f>IF(AND(C13&gt;=30,C13&lt;=60),1,0)</f>
        <v>1</v>
      </c>
      <c r="AD13">
        <f t="shared" si="3"/>
        <v>1</v>
      </c>
      <c r="AE13">
        <f t="shared" si="4"/>
        <v>1</v>
      </c>
      <c r="AF13">
        <f t="shared" si="5"/>
        <v>1</v>
      </c>
      <c r="AG13">
        <f t="shared" si="6"/>
        <v>1</v>
      </c>
      <c r="AH13">
        <f t="shared" si="7"/>
        <v>1</v>
      </c>
      <c r="AI13">
        <f t="shared" si="8"/>
        <v>1</v>
      </c>
      <c r="AJ13">
        <f t="shared" si="9"/>
        <v>1</v>
      </c>
      <c r="AK13">
        <f t="shared" si="10"/>
        <v>1</v>
      </c>
      <c r="AL13">
        <f t="shared" si="11"/>
        <v>0</v>
      </c>
      <c r="AM13">
        <f t="shared" si="12"/>
        <v>0</v>
      </c>
      <c r="AN13">
        <f t="shared" si="13"/>
        <v>0</v>
      </c>
      <c r="AO13">
        <f t="shared" si="14"/>
        <v>0</v>
      </c>
      <c r="AP13">
        <f t="shared" si="15"/>
        <v>0</v>
      </c>
      <c r="AQ13">
        <f t="shared" si="16"/>
        <v>0</v>
      </c>
      <c r="AR13">
        <f t="shared" si="17"/>
        <v>0</v>
      </c>
      <c r="AS13">
        <f t="shared" si="18"/>
        <v>0</v>
      </c>
      <c r="AT13">
        <f t="shared" si="19"/>
        <v>0</v>
      </c>
      <c r="AU13">
        <f t="shared" si="20"/>
        <v>0</v>
      </c>
      <c r="AV13">
        <f t="shared" si="21"/>
        <v>0</v>
      </c>
      <c r="AW13">
        <f t="shared" si="22"/>
        <v>0</v>
      </c>
      <c r="AX13">
        <f t="shared" si="23"/>
        <v>0</v>
      </c>
      <c r="AY13">
        <f t="shared" si="24"/>
        <v>0</v>
      </c>
      <c r="AZ13">
        <f t="shared" si="25"/>
        <v>0</v>
      </c>
    </row>
    <row r="14" spans="2:52" x14ac:dyDescent="0.25"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5"/>
      <c r="Z14" s="5"/>
    </row>
    <row r="15" spans="2:52" x14ac:dyDescent="0.25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 t="s">
        <v>53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5"/>
      <c r="Z15" s="5"/>
      <c r="AB15">
        <f>IF(AND(B10&gt;=15,B10&lt;=75),1,0)</f>
        <v>0</v>
      </c>
      <c r="AC15">
        <f t="shared" ref="AC15:AY15" si="26">IF(AND(C10&gt;=15,C10&lt;=75),1,0)</f>
        <v>0</v>
      </c>
      <c r="AD15">
        <f t="shared" si="26"/>
        <v>0</v>
      </c>
      <c r="AE15">
        <f t="shared" si="26"/>
        <v>1</v>
      </c>
      <c r="AF15">
        <f t="shared" si="26"/>
        <v>1</v>
      </c>
      <c r="AG15">
        <f t="shared" si="26"/>
        <v>1</v>
      </c>
      <c r="AH15">
        <f t="shared" si="26"/>
        <v>1</v>
      </c>
      <c r="AI15">
        <f t="shared" si="26"/>
        <v>1</v>
      </c>
      <c r="AJ15">
        <f t="shared" si="26"/>
        <v>1</v>
      </c>
      <c r="AK15">
        <f t="shared" si="26"/>
        <v>1</v>
      </c>
      <c r="AL15">
        <f t="shared" si="26"/>
        <v>1</v>
      </c>
      <c r="AM15">
        <f t="shared" si="26"/>
        <v>1</v>
      </c>
      <c r="AN15">
        <f t="shared" si="26"/>
        <v>1</v>
      </c>
      <c r="AO15">
        <f t="shared" si="26"/>
        <v>1</v>
      </c>
      <c r="AP15">
        <f t="shared" si="26"/>
        <v>1</v>
      </c>
      <c r="AQ15">
        <f t="shared" si="26"/>
        <v>1</v>
      </c>
      <c r="AR15">
        <f t="shared" si="26"/>
        <v>1</v>
      </c>
      <c r="AS15">
        <f t="shared" si="26"/>
        <v>1</v>
      </c>
      <c r="AT15">
        <f t="shared" si="26"/>
        <v>1</v>
      </c>
      <c r="AU15">
        <f t="shared" si="26"/>
        <v>1</v>
      </c>
      <c r="AV15">
        <f t="shared" si="26"/>
        <v>1</v>
      </c>
      <c r="AW15">
        <f t="shared" si="26"/>
        <v>1</v>
      </c>
      <c r="AX15">
        <f t="shared" si="26"/>
        <v>1</v>
      </c>
      <c r="AY15">
        <f t="shared" si="26"/>
        <v>1</v>
      </c>
      <c r="AZ15">
        <f t="shared" ref="AZ15:AZ18" si="27">IF(AND(Z10=15,Z10&lt;=75),1,0)</f>
        <v>0</v>
      </c>
    </row>
    <row r="16" spans="2:52" x14ac:dyDescent="0.25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5"/>
      <c r="Z16" s="5"/>
      <c r="AB16">
        <f t="shared" ref="AB16:AB18" si="28">IF(AND(B11&gt;=15,B11&lt;=75),1,0)</f>
        <v>1</v>
      </c>
      <c r="AC16">
        <f t="shared" ref="AC16:AC18" si="29">IF(AND(C11&gt;=15,C11&lt;=75),1,0)</f>
        <v>1</v>
      </c>
      <c r="AD16">
        <f t="shared" ref="AD16:AD18" si="30">IF(AND(D11&gt;=15,D11&lt;=75),1,0)</f>
        <v>1</v>
      </c>
      <c r="AE16">
        <f t="shared" ref="AE16:AE18" si="31">IF(AND(E11&gt;=15,E11&lt;=75),1,0)</f>
        <v>1</v>
      </c>
      <c r="AF16">
        <f t="shared" ref="AF16:AF18" si="32">IF(AND(F11&gt;=15,F11&lt;=75),1,0)</f>
        <v>1</v>
      </c>
      <c r="AG16">
        <f t="shared" ref="AG16:AG18" si="33">IF(AND(G11&gt;=15,G11&lt;=75),1,0)</f>
        <v>1</v>
      </c>
      <c r="AH16">
        <f t="shared" ref="AH16:AH18" si="34">IF(AND(H11&gt;=15,H11&lt;=75),1,0)</f>
        <v>1</v>
      </c>
      <c r="AI16">
        <f t="shared" ref="AI16:AI18" si="35">IF(AND(I11&gt;=15,I11&lt;=75),1,0)</f>
        <v>1</v>
      </c>
      <c r="AJ16">
        <f t="shared" ref="AJ16:AJ18" si="36">IF(AND(J11&gt;=15,J11&lt;=75),1,0)</f>
        <v>1</v>
      </c>
      <c r="AK16">
        <f t="shared" ref="AK16:AK18" si="37">IF(AND(K11&gt;=15,K11&lt;=75),1,0)</f>
        <v>1</v>
      </c>
      <c r="AL16">
        <f t="shared" ref="AL16:AL18" si="38">IF(AND(L11&gt;=15,L11&lt;=75),1,0)</f>
        <v>1</v>
      </c>
      <c r="AM16">
        <f t="shared" ref="AM16:AM18" si="39">IF(AND(M11&gt;=15,M11&lt;=75),1,0)</f>
        <v>1</v>
      </c>
      <c r="AN16">
        <f t="shared" ref="AN16:AN18" si="40">IF(AND(N11&gt;=15,N11&lt;=75),1,0)</f>
        <v>1</v>
      </c>
      <c r="AO16">
        <f t="shared" ref="AO16:AO18" si="41">IF(AND(O11&gt;=15,O11&lt;=75),1,0)</f>
        <v>1</v>
      </c>
      <c r="AP16">
        <f t="shared" ref="AP16:AP18" si="42">IF(AND(P11&gt;=15,P11&lt;=75),1,0)</f>
        <v>1</v>
      </c>
      <c r="AQ16">
        <f t="shared" ref="AQ16:AQ18" si="43">IF(AND(Q11&gt;=15,Q11&lt;=75),1,0)</f>
        <v>1</v>
      </c>
      <c r="AR16">
        <f t="shared" ref="AR16:AR18" si="44">IF(AND(R11&gt;=15,R11&lt;=75),1,0)</f>
        <v>1</v>
      </c>
      <c r="AS16">
        <f t="shared" ref="AS16:AS18" si="45">IF(AND(S11&gt;=15,S11&lt;=75),1,0)</f>
        <v>1</v>
      </c>
      <c r="AT16">
        <f t="shared" ref="AT16:AT18" si="46">IF(AND(T11&gt;=15,T11&lt;=75),1,0)</f>
        <v>1</v>
      </c>
      <c r="AU16">
        <f t="shared" ref="AU16:AU18" si="47">IF(AND(U11&gt;=15,U11&lt;=75),1,0)</f>
        <v>1</v>
      </c>
      <c r="AV16">
        <f t="shared" ref="AV16:AV18" si="48">IF(AND(V11&gt;=15,V11&lt;=75),1,0)</f>
        <v>1</v>
      </c>
      <c r="AW16">
        <f t="shared" ref="AW16:AW18" si="49">IF(AND(W11&gt;=15,W11&lt;=75),1,0)</f>
        <v>1</v>
      </c>
      <c r="AX16">
        <f t="shared" ref="AX16:AX18" si="50">IF(AND(X11&gt;=15,X11&lt;=75),1,0)</f>
        <v>1</v>
      </c>
      <c r="AY16">
        <f t="shared" ref="AY16:AY18" si="51">IF(AND(Y11&gt;=15,Y11&lt;=75),1,0)</f>
        <v>1</v>
      </c>
      <c r="AZ16">
        <f t="shared" si="27"/>
        <v>0</v>
      </c>
    </row>
    <row r="17" spans="1:52" ht="18.75" x14ac:dyDescent="0.3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20" t="s">
        <v>54</v>
      </c>
      <c r="O17" s="20"/>
      <c r="P17" s="21">
        <f>AVERAGE(B10:Z13)</f>
        <v>45.39</v>
      </c>
      <c r="Q17" s="12"/>
      <c r="R17" s="12"/>
      <c r="S17" s="12"/>
      <c r="T17" s="12"/>
      <c r="U17" s="12"/>
      <c r="V17" s="12"/>
      <c r="W17" s="12"/>
      <c r="X17" s="12"/>
      <c r="Y17" s="5"/>
      <c r="Z17" s="5"/>
      <c r="AA17" s="70"/>
      <c r="AB17">
        <f t="shared" si="28"/>
        <v>1</v>
      </c>
      <c r="AC17">
        <f t="shared" si="29"/>
        <v>1</v>
      </c>
      <c r="AD17">
        <f t="shared" si="30"/>
        <v>1</v>
      </c>
      <c r="AE17">
        <f t="shared" si="31"/>
        <v>1</v>
      </c>
      <c r="AF17">
        <f t="shared" si="32"/>
        <v>1</v>
      </c>
      <c r="AG17">
        <f t="shared" si="33"/>
        <v>1</v>
      </c>
      <c r="AH17">
        <f t="shared" si="34"/>
        <v>1</v>
      </c>
      <c r="AI17">
        <f t="shared" si="35"/>
        <v>1</v>
      </c>
      <c r="AJ17">
        <f t="shared" si="36"/>
        <v>1</v>
      </c>
      <c r="AK17">
        <f t="shared" si="37"/>
        <v>1</v>
      </c>
      <c r="AL17">
        <f t="shared" si="38"/>
        <v>1</v>
      </c>
      <c r="AM17">
        <f t="shared" si="39"/>
        <v>1</v>
      </c>
      <c r="AN17">
        <f t="shared" si="40"/>
        <v>1</v>
      </c>
      <c r="AO17">
        <f t="shared" si="41"/>
        <v>1</v>
      </c>
      <c r="AP17">
        <f t="shared" si="42"/>
        <v>1</v>
      </c>
      <c r="AQ17">
        <f t="shared" si="43"/>
        <v>1</v>
      </c>
      <c r="AR17">
        <f t="shared" si="44"/>
        <v>1</v>
      </c>
      <c r="AS17">
        <f t="shared" si="45"/>
        <v>1</v>
      </c>
      <c r="AT17">
        <f t="shared" si="46"/>
        <v>1</v>
      </c>
      <c r="AU17">
        <f t="shared" si="47"/>
        <v>1</v>
      </c>
      <c r="AV17">
        <f t="shared" si="48"/>
        <v>1</v>
      </c>
      <c r="AW17">
        <f t="shared" si="49"/>
        <v>1</v>
      </c>
      <c r="AX17">
        <f t="shared" si="50"/>
        <v>1</v>
      </c>
      <c r="AY17">
        <f t="shared" si="51"/>
        <v>1</v>
      </c>
      <c r="AZ17">
        <f t="shared" si="27"/>
        <v>0</v>
      </c>
    </row>
    <row r="18" spans="1:52" ht="18.75" x14ac:dyDescent="0.3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N18" s="22"/>
      <c r="O18" s="22"/>
      <c r="P18" s="20"/>
      <c r="Q18" s="12"/>
      <c r="R18" s="12"/>
      <c r="S18" s="12"/>
      <c r="T18" s="12"/>
      <c r="U18" s="12"/>
      <c r="V18" s="12"/>
      <c r="W18" s="12"/>
      <c r="X18" s="12"/>
      <c r="Y18" s="5"/>
      <c r="Z18" s="5"/>
      <c r="AA18" s="70"/>
      <c r="AB18">
        <f t="shared" si="28"/>
        <v>1</v>
      </c>
      <c r="AC18">
        <f t="shared" si="29"/>
        <v>1</v>
      </c>
      <c r="AD18">
        <f t="shared" si="30"/>
        <v>1</v>
      </c>
      <c r="AE18">
        <f t="shared" si="31"/>
        <v>1</v>
      </c>
      <c r="AF18">
        <f t="shared" si="32"/>
        <v>1</v>
      </c>
      <c r="AG18">
        <f t="shared" si="33"/>
        <v>1</v>
      </c>
      <c r="AH18">
        <f t="shared" si="34"/>
        <v>1</v>
      </c>
      <c r="AI18">
        <f t="shared" si="35"/>
        <v>1</v>
      </c>
      <c r="AJ18">
        <f t="shared" si="36"/>
        <v>1</v>
      </c>
      <c r="AK18">
        <f t="shared" si="37"/>
        <v>1</v>
      </c>
      <c r="AL18">
        <f t="shared" si="38"/>
        <v>1</v>
      </c>
      <c r="AM18">
        <f t="shared" si="39"/>
        <v>1</v>
      </c>
      <c r="AN18">
        <f t="shared" si="40"/>
        <v>1</v>
      </c>
      <c r="AO18">
        <f t="shared" si="41"/>
        <v>1</v>
      </c>
      <c r="AP18">
        <f t="shared" si="42"/>
        <v>1</v>
      </c>
      <c r="AQ18">
        <f t="shared" si="43"/>
        <v>1</v>
      </c>
      <c r="AR18">
        <f t="shared" si="44"/>
        <v>1</v>
      </c>
      <c r="AS18">
        <f t="shared" si="45"/>
        <v>1</v>
      </c>
      <c r="AT18">
        <f t="shared" si="46"/>
        <v>1</v>
      </c>
      <c r="AU18">
        <f t="shared" si="47"/>
        <v>1</v>
      </c>
      <c r="AV18">
        <f t="shared" si="48"/>
        <v>1</v>
      </c>
      <c r="AW18">
        <f t="shared" si="49"/>
        <v>1</v>
      </c>
      <c r="AX18">
        <f t="shared" si="50"/>
        <v>0</v>
      </c>
      <c r="AY18">
        <f t="shared" si="51"/>
        <v>0</v>
      </c>
      <c r="AZ18">
        <f t="shared" si="27"/>
        <v>0</v>
      </c>
    </row>
    <row r="19" spans="1:52" ht="18.75" x14ac:dyDescent="0.3"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20" t="s">
        <v>55</v>
      </c>
      <c r="O19" s="22"/>
      <c r="P19" s="20">
        <f>VAR(B10:Z13)</f>
        <v>227.93727272727281</v>
      </c>
      <c r="Q19" s="12"/>
      <c r="R19" s="12"/>
      <c r="S19" s="12"/>
      <c r="T19" s="12"/>
      <c r="U19" s="12"/>
      <c r="V19" s="12"/>
      <c r="W19" s="12"/>
      <c r="X19" s="12"/>
      <c r="Y19" s="5"/>
      <c r="Z19" s="5"/>
    </row>
    <row r="20" spans="1:52" ht="18.75" x14ac:dyDescent="0.3"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20"/>
      <c r="O20" s="22"/>
      <c r="P20" s="20"/>
      <c r="Q20" s="12"/>
      <c r="R20" s="12"/>
      <c r="S20" s="12"/>
      <c r="T20" s="12"/>
      <c r="U20" s="12"/>
      <c r="V20" s="12"/>
      <c r="W20" s="12"/>
      <c r="X20" s="12"/>
      <c r="Y20" s="5"/>
      <c r="Z20" s="5"/>
      <c r="AA20" s="71"/>
      <c r="AB20">
        <f>IF(AND(B10&gt;=0,B10&lt;=90),1,0)</f>
        <v>1</v>
      </c>
      <c r="AC20">
        <f t="shared" ref="AC20:AZ20" si="52">IF(AND(C10&gt;=0,C10&lt;=90),1,0)</f>
        <v>1</v>
      </c>
      <c r="AD20">
        <f t="shared" si="52"/>
        <v>1</v>
      </c>
      <c r="AE20">
        <f t="shared" si="52"/>
        <v>1</v>
      </c>
      <c r="AF20">
        <f t="shared" si="52"/>
        <v>1</v>
      </c>
      <c r="AG20">
        <f t="shared" si="52"/>
        <v>1</v>
      </c>
      <c r="AH20">
        <f t="shared" si="52"/>
        <v>1</v>
      </c>
      <c r="AI20">
        <f t="shared" si="52"/>
        <v>1</v>
      </c>
      <c r="AJ20">
        <f t="shared" si="52"/>
        <v>1</v>
      </c>
      <c r="AK20">
        <f t="shared" si="52"/>
        <v>1</v>
      </c>
      <c r="AL20">
        <f t="shared" si="52"/>
        <v>1</v>
      </c>
      <c r="AM20">
        <f t="shared" si="52"/>
        <v>1</v>
      </c>
      <c r="AN20">
        <f t="shared" si="52"/>
        <v>1</v>
      </c>
      <c r="AO20">
        <f t="shared" si="52"/>
        <v>1</v>
      </c>
      <c r="AP20">
        <f t="shared" si="52"/>
        <v>1</v>
      </c>
      <c r="AQ20">
        <f t="shared" si="52"/>
        <v>1</v>
      </c>
      <c r="AR20">
        <f t="shared" si="52"/>
        <v>1</v>
      </c>
      <c r="AS20">
        <f t="shared" si="52"/>
        <v>1</v>
      </c>
      <c r="AT20">
        <f t="shared" si="52"/>
        <v>1</v>
      </c>
      <c r="AU20">
        <f t="shared" si="52"/>
        <v>1</v>
      </c>
      <c r="AV20">
        <f t="shared" si="52"/>
        <v>1</v>
      </c>
      <c r="AW20">
        <f t="shared" si="52"/>
        <v>1</v>
      </c>
      <c r="AX20">
        <f t="shared" si="52"/>
        <v>1</v>
      </c>
      <c r="AY20">
        <f t="shared" si="52"/>
        <v>1</v>
      </c>
      <c r="AZ20">
        <f t="shared" si="52"/>
        <v>1</v>
      </c>
    </row>
    <row r="21" spans="1:52" ht="18.75" x14ac:dyDescent="0.3"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20" t="s">
        <v>56</v>
      </c>
      <c r="O21" s="20"/>
      <c r="P21" s="21">
        <f>STDEV(B10:Z13)</f>
        <v>15.097591620098644</v>
      </c>
      <c r="Q21" s="12"/>
      <c r="R21" s="12"/>
      <c r="S21" s="12"/>
      <c r="T21" s="12"/>
      <c r="U21" s="12"/>
      <c r="V21" s="12"/>
      <c r="W21" s="12"/>
      <c r="X21" s="12"/>
      <c r="Y21" s="5"/>
      <c r="Z21" s="5"/>
      <c r="AB21">
        <f t="shared" ref="AB21:AB23" si="53">IF(AND(B11&gt;=0,B11&lt;=90),1,0)</f>
        <v>1</v>
      </c>
      <c r="AC21">
        <f t="shared" ref="AC21:AC23" si="54">IF(AND(C11&gt;=0,C11&lt;=90),1,0)</f>
        <v>1</v>
      </c>
      <c r="AD21">
        <f t="shared" ref="AD21:AD23" si="55">IF(AND(D11&gt;=0,D11&lt;=90),1,0)</f>
        <v>1</v>
      </c>
      <c r="AE21">
        <f t="shared" ref="AE21:AE23" si="56">IF(AND(E11&gt;=0,E11&lt;=90),1,0)</f>
        <v>1</v>
      </c>
      <c r="AF21">
        <f t="shared" ref="AF21:AF23" si="57">IF(AND(F11&gt;=0,F11&lt;=90),1,0)</f>
        <v>1</v>
      </c>
      <c r="AG21">
        <f t="shared" ref="AG21:AG23" si="58">IF(AND(G11&gt;=0,G11&lt;=90),1,0)</f>
        <v>1</v>
      </c>
      <c r="AH21">
        <f t="shared" ref="AH21:AH23" si="59">IF(AND(H11&gt;=0,H11&lt;=90),1,0)</f>
        <v>1</v>
      </c>
      <c r="AI21">
        <f t="shared" ref="AI21:AI23" si="60">IF(AND(I11&gt;=0,I11&lt;=90),1,0)</f>
        <v>1</v>
      </c>
      <c r="AJ21">
        <f t="shared" ref="AJ21:AJ23" si="61">IF(AND(J11&gt;=0,J11&lt;=90),1,0)</f>
        <v>1</v>
      </c>
      <c r="AK21">
        <f t="shared" ref="AK21:AK23" si="62">IF(AND(K11&gt;=0,K11&lt;=90),1,0)</f>
        <v>1</v>
      </c>
      <c r="AL21">
        <f t="shared" ref="AL21:AL23" si="63">IF(AND(L11&gt;=0,L11&lt;=90),1,0)</f>
        <v>1</v>
      </c>
      <c r="AM21">
        <f t="shared" ref="AM21:AM23" si="64">IF(AND(M11&gt;=0,M11&lt;=90),1,0)</f>
        <v>1</v>
      </c>
      <c r="AN21">
        <f t="shared" ref="AN21:AN23" si="65">IF(AND(N11&gt;=0,N11&lt;=90),1,0)</f>
        <v>1</v>
      </c>
      <c r="AO21">
        <f t="shared" ref="AO21:AO23" si="66">IF(AND(O11&gt;=0,O11&lt;=90),1,0)</f>
        <v>1</v>
      </c>
      <c r="AP21">
        <f t="shared" ref="AP21:AP23" si="67">IF(AND(P11&gt;=0,P11&lt;=90),1,0)</f>
        <v>1</v>
      </c>
      <c r="AQ21">
        <f t="shared" ref="AQ21:AQ23" si="68">IF(AND(Q11&gt;=0,Q11&lt;=90),1,0)</f>
        <v>1</v>
      </c>
      <c r="AR21">
        <f t="shared" ref="AR21:AR23" si="69">IF(AND(R11&gt;=0,R11&lt;=90),1,0)</f>
        <v>1</v>
      </c>
      <c r="AS21">
        <f t="shared" ref="AS21:AS23" si="70">IF(AND(S11&gt;=0,S11&lt;=90),1,0)</f>
        <v>1</v>
      </c>
      <c r="AT21">
        <f t="shared" ref="AT21:AT23" si="71">IF(AND(T11&gt;=0,T11&lt;=90),1,0)</f>
        <v>1</v>
      </c>
      <c r="AU21">
        <f t="shared" ref="AU21:AU23" si="72">IF(AND(U11&gt;=0,U11&lt;=90),1,0)</f>
        <v>1</v>
      </c>
      <c r="AV21">
        <f t="shared" ref="AV21:AV23" si="73">IF(AND(V11&gt;=0,V11&lt;=90),1,0)</f>
        <v>1</v>
      </c>
      <c r="AW21">
        <f t="shared" ref="AW21:AW23" si="74">IF(AND(W11&gt;=0,W11&lt;=90),1,0)</f>
        <v>1</v>
      </c>
      <c r="AX21">
        <f t="shared" ref="AX21:AX23" si="75">IF(AND(X11&gt;=0,X11&lt;=90),1,0)</f>
        <v>1</v>
      </c>
      <c r="AY21">
        <f t="shared" ref="AY21:AY23" si="76">IF(AND(Y11&gt;=0,Y11&lt;=90),1,0)</f>
        <v>1</v>
      </c>
      <c r="AZ21">
        <f t="shared" ref="AZ21:AZ23" si="77">IF(AND(Z11&gt;=0,Z11&lt;=90),1,0)</f>
        <v>1</v>
      </c>
    </row>
    <row r="22" spans="1:52" x14ac:dyDescent="0.25"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5"/>
      <c r="Z22" s="5"/>
      <c r="AB22">
        <f t="shared" si="53"/>
        <v>1</v>
      </c>
      <c r="AC22">
        <f t="shared" si="54"/>
        <v>1</v>
      </c>
      <c r="AD22">
        <f t="shared" si="55"/>
        <v>1</v>
      </c>
      <c r="AE22">
        <f t="shared" si="56"/>
        <v>1</v>
      </c>
      <c r="AF22">
        <f t="shared" si="57"/>
        <v>1</v>
      </c>
      <c r="AG22">
        <f t="shared" si="58"/>
        <v>1</v>
      </c>
      <c r="AH22">
        <f t="shared" si="59"/>
        <v>1</v>
      </c>
      <c r="AI22">
        <f t="shared" si="60"/>
        <v>1</v>
      </c>
      <c r="AJ22">
        <f t="shared" si="61"/>
        <v>1</v>
      </c>
      <c r="AK22">
        <f t="shared" si="62"/>
        <v>1</v>
      </c>
      <c r="AL22">
        <f t="shared" si="63"/>
        <v>1</v>
      </c>
      <c r="AM22">
        <f t="shared" si="64"/>
        <v>1</v>
      </c>
      <c r="AN22">
        <f t="shared" si="65"/>
        <v>1</v>
      </c>
      <c r="AO22">
        <f t="shared" si="66"/>
        <v>1</v>
      </c>
      <c r="AP22">
        <f t="shared" si="67"/>
        <v>1</v>
      </c>
      <c r="AQ22">
        <f t="shared" si="68"/>
        <v>1</v>
      </c>
      <c r="AR22">
        <f t="shared" si="69"/>
        <v>1</v>
      </c>
      <c r="AS22">
        <f t="shared" si="70"/>
        <v>1</v>
      </c>
      <c r="AT22">
        <f t="shared" si="71"/>
        <v>1</v>
      </c>
      <c r="AU22">
        <f t="shared" si="72"/>
        <v>1</v>
      </c>
      <c r="AV22">
        <f t="shared" si="73"/>
        <v>1</v>
      </c>
      <c r="AW22">
        <f t="shared" si="74"/>
        <v>1</v>
      </c>
      <c r="AX22">
        <f t="shared" si="75"/>
        <v>1</v>
      </c>
      <c r="AY22">
        <f t="shared" si="76"/>
        <v>1</v>
      </c>
      <c r="AZ22">
        <f t="shared" si="77"/>
        <v>1</v>
      </c>
    </row>
    <row r="23" spans="1:52" ht="15.75" x14ac:dyDescent="0.25"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23"/>
      <c r="N23" s="50" t="s">
        <v>57</v>
      </c>
      <c r="O23" s="12"/>
      <c r="P23" s="12"/>
      <c r="Q23" s="12"/>
      <c r="R23" s="12"/>
      <c r="S23" s="12" t="s">
        <v>58</v>
      </c>
      <c r="T23" s="12"/>
      <c r="U23" s="12"/>
      <c r="V23" s="12"/>
      <c r="W23" s="12"/>
      <c r="X23" s="12"/>
      <c r="Y23" s="5"/>
      <c r="Z23" s="5"/>
      <c r="AB23">
        <f t="shared" si="53"/>
        <v>1</v>
      </c>
      <c r="AC23">
        <f t="shared" si="54"/>
        <v>1</v>
      </c>
      <c r="AD23">
        <f t="shared" si="55"/>
        <v>1</v>
      </c>
      <c r="AE23">
        <f t="shared" si="56"/>
        <v>1</v>
      </c>
      <c r="AF23">
        <f t="shared" si="57"/>
        <v>1</v>
      </c>
      <c r="AG23">
        <f t="shared" si="58"/>
        <v>1</v>
      </c>
      <c r="AH23">
        <f t="shared" si="59"/>
        <v>1</v>
      </c>
      <c r="AI23">
        <f t="shared" si="60"/>
        <v>1</v>
      </c>
      <c r="AJ23">
        <f t="shared" si="61"/>
        <v>1</v>
      </c>
      <c r="AK23">
        <f t="shared" si="62"/>
        <v>1</v>
      </c>
      <c r="AL23">
        <f t="shared" si="63"/>
        <v>1</v>
      </c>
      <c r="AM23">
        <f t="shared" si="64"/>
        <v>1</v>
      </c>
      <c r="AN23">
        <f t="shared" si="65"/>
        <v>1</v>
      </c>
      <c r="AO23">
        <f t="shared" si="66"/>
        <v>1</v>
      </c>
      <c r="AP23">
        <f t="shared" si="67"/>
        <v>1</v>
      </c>
      <c r="AQ23">
        <f t="shared" si="68"/>
        <v>1</v>
      </c>
      <c r="AR23">
        <f t="shared" si="69"/>
        <v>1</v>
      </c>
      <c r="AS23">
        <f t="shared" si="70"/>
        <v>1</v>
      </c>
      <c r="AT23">
        <f t="shared" si="71"/>
        <v>1</v>
      </c>
      <c r="AU23">
        <f t="shared" si="72"/>
        <v>1</v>
      </c>
      <c r="AV23">
        <f t="shared" si="73"/>
        <v>1</v>
      </c>
      <c r="AW23">
        <f t="shared" si="74"/>
        <v>1</v>
      </c>
      <c r="AX23">
        <f t="shared" si="75"/>
        <v>1</v>
      </c>
      <c r="AY23">
        <f t="shared" si="76"/>
        <v>1</v>
      </c>
      <c r="AZ23">
        <f t="shared" si="77"/>
        <v>1</v>
      </c>
    </row>
    <row r="24" spans="1:52" x14ac:dyDescent="0.25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5"/>
      <c r="Z24" s="5"/>
    </row>
    <row r="25" spans="1:52" x14ac:dyDescent="0.25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5"/>
      <c r="Z25" s="5"/>
    </row>
    <row r="26" spans="1:52" x14ac:dyDescent="0.25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5"/>
      <c r="Z26" s="5"/>
    </row>
    <row r="27" spans="1:52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5"/>
      <c r="Z27" s="5"/>
    </row>
    <row r="28" spans="1:52" ht="30" customHeight="1" x14ac:dyDescent="0.25">
      <c r="B28" s="57" t="s">
        <v>3</v>
      </c>
      <c r="C28" s="5"/>
      <c r="D28" s="6" t="s">
        <v>12</v>
      </c>
      <c r="E28" s="5"/>
      <c r="F28" s="5" t="s">
        <v>13</v>
      </c>
      <c r="G28" s="5"/>
      <c r="H28" s="5"/>
      <c r="I28" s="5" t="s">
        <v>14</v>
      </c>
      <c r="J28" s="10" t="s">
        <v>20</v>
      </c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52" ht="30" customHeight="1" x14ac:dyDescent="0.25">
      <c r="A29" s="66">
        <v>1</v>
      </c>
      <c r="B29" s="7" t="s">
        <v>21</v>
      </c>
      <c r="C29" s="5"/>
      <c r="D29" s="8">
        <v>1</v>
      </c>
      <c r="E29" s="5"/>
      <c r="F29" s="5" t="s">
        <v>15</v>
      </c>
      <c r="G29" s="5"/>
      <c r="H29" s="5"/>
      <c r="I29" s="9">
        <v>0.01</v>
      </c>
      <c r="J29" s="11">
        <v>0.01</v>
      </c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52" ht="30" customHeight="1" x14ac:dyDescent="0.25">
      <c r="A30" s="66">
        <v>2</v>
      </c>
      <c r="B30" s="7" t="s">
        <v>4</v>
      </c>
      <c r="C30" s="5"/>
      <c r="D30" s="8">
        <v>4</v>
      </c>
      <c r="E30" s="5"/>
      <c r="F30" s="5" t="s">
        <v>16</v>
      </c>
      <c r="G30" s="5"/>
      <c r="H30" s="5"/>
      <c r="I30" s="5">
        <v>0.05</v>
      </c>
      <c r="J30" s="11">
        <v>0.05</v>
      </c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52" ht="30" customHeight="1" x14ac:dyDescent="0.25">
      <c r="A31" s="66">
        <v>3</v>
      </c>
      <c r="B31" s="7" t="s">
        <v>5</v>
      </c>
      <c r="C31" s="5"/>
      <c r="D31" s="8">
        <v>10</v>
      </c>
      <c r="E31" s="5"/>
      <c r="F31" s="5" t="s">
        <v>17</v>
      </c>
      <c r="G31" s="5"/>
      <c r="H31" s="5"/>
      <c r="I31" s="5">
        <v>0.15</v>
      </c>
      <c r="J31" s="11">
        <v>0.15</v>
      </c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52" ht="30" customHeight="1" x14ac:dyDescent="0.25">
      <c r="A32" s="66">
        <v>4</v>
      </c>
      <c r="B32" s="7" t="s">
        <v>6</v>
      </c>
      <c r="C32" s="5"/>
      <c r="D32" s="8">
        <v>20</v>
      </c>
      <c r="E32" s="5"/>
      <c r="F32" s="5" t="s">
        <v>18</v>
      </c>
      <c r="G32" s="5"/>
      <c r="H32" s="5"/>
      <c r="I32" s="5">
        <v>0.35</v>
      </c>
      <c r="J32" s="11">
        <v>0.35</v>
      </c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31" ht="30" customHeight="1" x14ac:dyDescent="0.25">
      <c r="A33" s="66">
        <v>5</v>
      </c>
      <c r="B33" s="7" t="s">
        <v>7</v>
      </c>
      <c r="C33" s="5"/>
      <c r="D33" s="8">
        <v>30</v>
      </c>
      <c r="E33" s="5"/>
      <c r="F33" s="5" t="s">
        <v>19</v>
      </c>
      <c r="G33" s="5"/>
      <c r="H33" s="5"/>
      <c r="I33" s="5">
        <v>0.65</v>
      </c>
      <c r="J33" s="11">
        <v>0.65</v>
      </c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31" ht="30" customHeight="1" x14ac:dyDescent="0.25">
      <c r="A34" s="66">
        <v>6</v>
      </c>
      <c r="B34" s="7" t="s">
        <v>8</v>
      </c>
      <c r="C34" s="5"/>
      <c r="D34" s="8">
        <v>20</v>
      </c>
      <c r="E34" s="5"/>
      <c r="F34" s="5" t="s">
        <v>18</v>
      </c>
      <c r="G34" s="5"/>
      <c r="H34" s="5"/>
      <c r="I34" s="5">
        <v>0.85</v>
      </c>
      <c r="J34" s="11">
        <v>0.85</v>
      </c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31" ht="30" customHeight="1" x14ac:dyDescent="0.25">
      <c r="A35" s="66">
        <v>7</v>
      </c>
      <c r="B35" s="7" t="s">
        <v>9</v>
      </c>
      <c r="C35" s="2"/>
      <c r="D35" s="8">
        <v>10</v>
      </c>
      <c r="E35" s="2"/>
      <c r="F35" s="5" t="s">
        <v>17</v>
      </c>
      <c r="G35" s="2"/>
      <c r="H35" s="2"/>
      <c r="I35" s="5">
        <v>0.95</v>
      </c>
      <c r="J35" s="11">
        <v>0.95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31" ht="15" customHeight="1" x14ac:dyDescent="0.25">
      <c r="A36" s="66">
        <v>8</v>
      </c>
      <c r="B36" s="7" t="s">
        <v>10</v>
      </c>
      <c r="D36" s="8">
        <v>4</v>
      </c>
      <c r="F36" s="5" t="s">
        <v>16</v>
      </c>
      <c r="I36" s="5">
        <v>0.99</v>
      </c>
      <c r="J36" s="11">
        <v>0.99</v>
      </c>
      <c r="L36" s="58" t="s">
        <v>23</v>
      </c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</row>
    <row r="37" spans="1:31" ht="15" customHeight="1" x14ac:dyDescent="0.25">
      <c r="A37" s="66">
        <v>9</v>
      </c>
      <c r="B37" s="7" t="s">
        <v>11</v>
      </c>
      <c r="D37" s="8">
        <v>1</v>
      </c>
      <c r="F37" s="5" t="s">
        <v>15</v>
      </c>
      <c r="I37" s="9">
        <v>1</v>
      </c>
      <c r="J37" s="11">
        <v>1</v>
      </c>
      <c r="L37" s="58" t="s">
        <v>25</v>
      </c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</row>
    <row r="38" spans="1:31" ht="15" customHeight="1" x14ac:dyDescent="0.25">
      <c r="B38" s="7"/>
      <c r="L38" s="57" t="s">
        <v>22</v>
      </c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31" x14ac:dyDescent="0.25">
      <c r="L39" s="57" t="s">
        <v>24</v>
      </c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31" ht="23.25" x14ac:dyDescent="0.35">
      <c r="B40" s="19" t="s">
        <v>49</v>
      </c>
      <c r="C40" s="18"/>
      <c r="D40" s="18"/>
      <c r="AD40" s="45"/>
    </row>
    <row r="41" spans="1:31" ht="21" x14ac:dyDescent="0.35">
      <c r="B41" s="14" t="s">
        <v>26</v>
      </c>
      <c r="D41" s="3" t="s">
        <v>27</v>
      </c>
      <c r="AD41" s="28"/>
      <c r="AE41" s="28"/>
    </row>
    <row r="42" spans="1:31" ht="18.75" x14ac:dyDescent="0.3">
      <c r="D42" s="3"/>
      <c r="AD42" s="28"/>
      <c r="AE42" s="28"/>
    </row>
    <row r="43" spans="1:31" ht="18.75" x14ac:dyDescent="0.3">
      <c r="D43" s="3"/>
      <c r="E43" t="s">
        <v>172</v>
      </c>
      <c r="H43" t="s">
        <v>173</v>
      </c>
      <c r="J43" t="s">
        <v>174</v>
      </c>
      <c r="L43" t="s">
        <v>175</v>
      </c>
      <c r="Q43" t="s">
        <v>176</v>
      </c>
      <c r="AD43" s="28"/>
      <c r="AE43" s="28"/>
    </row>
    <row r="44" spans="1:31" ht="18.75" x14ac:dyDescent="0.3">
      <c r="D44" s="3"/>
      <c r="E44">
        <v>1</v>
      </c>
      <c r="H44">
        <v>10</v>
      </c>
      <c r="J44" s="8">
        <v>1</v>
      </c>
      <c r="L44">
        <f>H44*J44</f>
        <v>10</v>
      </c>
      <c r="Q44" s="60">
        <f>L44/$L$54</f>
        <v>0.01</v>
      </c>
      <c r="AD44" s="28"/>
      <c r="AE44" s="28"/>
    </row>
    <row r="45" spans="1:31" ht="18.75" x14ac:dyDescent="0.3">
      <c r="D45" s="3"/>
      <c r="E45">
        <v>2</v>
      </c>
      <c r="H45">
        <v>10</v>
      </c>
      <c r="J45" s="8">
        <v>4</v>
      </c>
      <c r="L45">
        <f t="shared" ref="L45:L52" si="78">H45*J45</f>
        <v>40</v>
      </c>
      <c r="Q45" s="59">
        <f t="shared" ref="Q45:Q52" si="79">L45/$L$54</f>
        <v>0.04</v>
      </c>
      <c r="AD45" s="28"/>
      <c r="AE45" s="28"/>
    </row>
    <row r="46" spans="1:31" ht="18.75" x14ac:dyDescent="0.3">
      <c r="D46" s="3"/>
      <c r="E46">
        <v>3</v>
      </c>
      <c r="H46">
        <v>10</v>
      </c>
      <c r="J46" s="8">
        <v>10</v>
      </c>
      <c r="L46">
        <f t="shared" si="78"/>
        <v>100</v>
      </c>
      <c r="Q46" s="59">
        <f t="shared" si="79"/>
        <v>0.1</v>
      </c>
      <c r="AD46" s="28"/>
      <c r="AE46" s="28"/>
    </row>
    <row r="47" spans="1:31" ht="18.75" x14ac:dyDescent="0.3">
      <c r="D47" s="3"/>
      <c r="E47">
        <v>4</v>
      </c>
      <c r="H47">
        <v>10</v>
      </c>
      <c r="J47" s="8">
        <v>20</v>
      </c>
      <c r="L47">
        <f t="shared" si="78"/>
        <v>200</v>
      </c>
      <c r="Q47" s="59">
        <f t="shared" si="79"/>
        <v>0.2</v>
      </c>
      <c r="AD47" s="28"/>
      <c r="AE47" s="28"/>
    </row>
    <row r="48" spans="1:31" ht="18.75" x14ac:dyDescent="0.3">
      <c r="D48" s="3"/>
      <c r="E48">
        <v>5</v>
      </c>
      <c r="H48">
        <v>10</v>
      </c>
      <c r="J48" s="8">
        <v>30</v>
      </c>
      <c r="L48">
        <f t="shared" si="78"/>
        <v>300</v>
      </c>
      <c r="Q48" s="59">
        <f t="shared" si="79"/>
        <v>0.3</v>
      </c>
      <c r="AD48" s="28"/>
      <c r="AE48" s="28"/>
    </row>
    <row r="49" spans="2:31" ht="18.75" x14ac:dyDescent="0.3">
      <c r="D49" s="3"/>
      <c r="E49">
        <v>6</v>
      </c>
      <c r="H49">
        <v>10</v>
      </c>
      <c r="J49" s="8">
        <v>20</v>
      </c>
      <c r="L49">
        <f t="shared" si="78"/>
        <v>200</v>
      </c>
      <c r="Q49" s="59">
        <f t="shared" si="79"/>
        <v>0.2</v>
      </c>
      <c r="AD49" s="28"/>
      <c r="AE49" s="28"/>
    </row>
    <row r="50" spans="2:31" ht="18.75" x14ac:dyDescent="0.3">
      <c r="D50" s="3"/>
      <c r="E50">
        <v>7</v>
      </c>
      <c r="H50">
        <v>10</v>
      </c>
      <c r="J50" s="8">
        <v>10</v>
      </c>
      <c r="L50">
        <f t="shared" si="78"/>
        <v>100</v>
      </c>
      <c r="Q50" s="59">
        <f t="shared" si="79"/>
        <v>0.1</v>
      </c>
      <c r="AD50" s="28"/>
      <c r="AE50" s="28"/>
    </row>
    <row r="51" spans="2:31" ht="18.75" x14ac:dyDescent="0.3">
      <c r="D51" s="3"/>
      <c r="E51">
        <v>8</v>
      </c>
      <c r="H51">
        <v>10</v>
      </c>
      <c r="J51" s="8">
        <v>4</v>
      </c>
      <c r="L51">
        <f t="shared" si="78"/>
        <v>40</v>
      </c>
      <c r="Q51" s="59">
        <f t="shared" si="79"/>
        <v>0.04</v>
      </c>
      <c r="AD51" s="28"/>
      <c r="AE51" s="28"/>
    </row>
    <row r="52" spans="2:31" ht="18.75" x14ac:dyDescent="0.3">
      <c r="D52" s="3"/>
      <c r="E52">
        <v>9</v>
      </c>
      <c r="H52">
        <v>10</v>
      </c>
      <c r="J52" s="8">
        <v>1</v>
      </c>
      <c r="L52">
        <f t="shared" si="78"/>
        <v>10</v>
      </c>
      <c r="Q52" s="59">
        <f t="shared" si="79"/>
        <v>0.01</v>
      </c>
      <c r="AD52" s="28"/>
      <c r="AE52" s="28"/>
    </row>
    <row r="53" spans="2:31" ht="18.75" x14ac:dyDescent="0.3">
      <c r="D53" s="3"/>
      <c r="AD53" s="28"/>
      <c r="AE53" s="28"/>
    </row>
    <row r="54" spans="2:31" ht="18.75" x14ac:dyDescent="0.3">
      <c r="D54" s="3"/>
      <c r="I54" s="61" t="s">
        <v>178</v>
      </c>
      <c r="L54">
        <f>SUM(L44:L52)</f>
        <v>1000</v>
      </c>
      <c r="AD54" s="28"/>
      <c r="AE54" s="28"/>
    </row>
    <row r="55" spans="2:31" ht="18.75" x14ac:dyDescent="0.3">
      <c r="D55" s="3"/>
      <c r="AD55" s="28"/>
      <c r="AE55" s="28"/>
    </row>
    <row r="56" spans="2:31" ht="18.75" x14ac:dyDescent="0.3">
      <c r="D56" s="3"/>
      <c r="E56" t="s">
        <v>177</v>
      </c>
      <c r="AD56" s="28"/>
      <c r="AE56" s="28"/>
    </row>
    <row r="57" spans="2:31" ht="18.75" x14ac:dyDescent="0.3">
      <c r="D57" s="3"/>
      <c r="AD57" s="28"/>
      <c r="AE57" s="28"/>
    </row>
    <row r="58" spans="2:31" ht="21" x14ac:dyDescent="0.35">
      <c r="B58" s="14" t="s">
        <v>28</v>
      </c>
      <c r="D58" s="3" t="s">
        <v>29</v>
      </c>
      <c r="AD58" s="28"/>
      <c r="AE58" s="28"/>
    </row>
    <row r="59" spans="2:31" ht="21" x14ac:dyDescent="0.35">
      <c r="B59" s="14"/>
      <c r="D59" s="3"/>
      <c r="AD59" s="28"/>
      <c r="AE59" s="28"/>
    </row>
    <row r="60" spans="2:31" ht="21" x14ac:dyDescent="0.35">
      <c r="B60" s="14"/>
      <c r="D60" s="3"/>
      <c r="E60" t="s">
        <v>179</v>
      </c>
      <c r="I60" s="63">
        <f>Q51+Q52</f>
        <v>0.05</v>
      </c>
      <c r="AD60" s="28"/>
      <c r="AE60" s="28"/>
    </row>
    <row r="61" spans="2:31" ht="21" x14ac:dyDescent="0.35">
      <c r="B61" s="14"/>
      <c r="D61" s="3"/>
      <c r="E61" t="s">
        <v>180</v>
      </c>
      <c r="AD61" s="28"/>
      <c r="AE61" s="28"/>
    </row>
    <row r="62" spans="2:31" ht="21" x14ac:dyDescent="0.35">
      <c r="B62" s="14"/>
      <c r="D62" s="3"/>
      <c r="AD62" s="28"/>
      <c r="AE62" s="28"/>
    </row>
    <row r="63" spans="2:31" ht="21" x14ac:dyDescent="0.35">
      <c r="B63" s="14" t="s">
        <v>30</v>
      </c>
      <c r="D63" s="3" t="s">
        <v>31</v>
      </c>
      <c r="AD63" s="28"/>
      <c r="AE63" s="28"/>
    </row>
    <row r="64" spans="2:31" ht="18.75" x14ac:dyDescent="0.3">
      <c r="E64" s="3" t="s">
        <v>35</v>
      </c>
      <c r="AD64" s="28"/>
      <c r="AE64" s="28"/>
    </row>
    <row r="65" spans="2:31" ht="18.75" x14ac:dyDescent="0.3">
      <c r="E65" s="3"/>
      <c r="AD65" s="28"/>
      <c r="AE65" s="28"/>
    </row>
    <row r="66" spans="2:31" ht="18.75" x14ac:dyDescent="0.3">
      <c r="E66" s="3"/>
      <c r="F66" s="63">
        <f>J35</f>
        <v>0.95</v>
      </c>
      <c r="AD66" s="28"/>
      <c r="AE66" s="28"/>
    </row>
    <row r="67" spans="2:31" ht="18.75" x14ac:dyDescent="0.3">
      <c r="E67" s="3"/>
      <c r="F67" t="s">
        <v>181</v>
      </c>
      <c r="AD67" s="28"/>
      <c r="AE67" s="28"/>
    </row>
    <row r="68" spans="2:31" ht="18.75" x14ac:dyDescent="0.3">
      <c r="E68" s="3"/>
      <c r="AD68" s="28"/>
      <c r="AE68" s="28"/>
    </row>
    <row r="69" spans="2:31" ht="18.75" x14ac:dyDescent="0.3">
      <c r="E69" s="3" t="s">
        <v>36</v>
      </c>
      <c r="AD69" s="28"/>
      <c r="AE69" s="28"/>
    </row>
    <row r="70" spans="2:31" ht="18.75" x14ac:dyDescent="0.3">
      <c r="E70" s="15" t="s">
        <v>34</v>
      </c>
      <c r="AD70" s="28"/>
      <c r="AE70" s="28"/>
    </row>
    <row r="71" spans="2:31" ht="18.75" x14ac:dyDescent="0.3">
      <c r="E71" s="15"/>
      <c r="AD71" s="28"/>
      <c r="AE71" s="28"/>
    </row>
    <row r="72" spans="2:31" ht="18.75" x14ac:dyDescent="0.3">
      <c r="E72" s="15"/>
      <c r="F72" t="s">
        <v>182</v>
      </c>
      <c r="K72" s="60">
        <f>100%-95%</f>
        <v>5.0000000000000044E-2</v>
      </c>
      <c r="AD72" s="28"/>
      <c r="AE72" s="28"/>
    </row>
    <row r="73" spans="2:31" ht="18.75" x14ac:dyDescent="0.3">
      <c r="E73" s="15"/>
      <c r="F73" t="s">
        <v>183</v>
      </c>
      <c r="AD73" s="28"/>
      <c r="AE73" s="28"/>
    </row>
    <row r="74" spans="2:31" ht="18.75" x14ac:dyDescent="0.3">
      <c r="E74" s="15"/>
      <c r="AD74" s="28"/>
      <c r="AE74" s="28"/>
    </row>
    <row r="75" spans="2:31" ht="18.75" x14ac:dyDescent="0.3">
      <c r="E75" s="15"/>
      <c r="AD75" s="28"/>
      <c r="AE75" s="28"/>
    </row>
    <row r="76" spans="2:31" ht="21" x14ac:dyDescent="0.3">
      <c r="B76" s="19" t="s">
        <v>50</v>
      </c>
      <c r="C76" s="18"/>
      <c r="D76" s="18"/>
      <c r="AD76" s="28"/>
      <c r="AE76" s="28"/>
    </row>
    <row r="77" spans="2:31" ht="21" x14ac:dyDescent="0.35">
      <c r="B77" s="14" t="s">
        <v>32</v>
      </c>
      <c r="D77" s="3" t="s">
        <v>33</v>
      </c>
      <c r="AD77" s="28"/>
      <c r="AE77" s="28"/>
    </row>
    <row r="78" spans="2:31" ht="18.75" x14ac:dyDescent="0.3">
      <c r="E78" s="3" t="s">
        <v>42</v>
      </c>
      <c r="AD78" s="28"/>
      <c r="AE78" s="28"/>
    </row>
    <row r="79" spans="2:31" ht="18.75" x14ac:dyDescent="0.3">
      <c r="F79" s="3" t="s">
        <v>37</v>
      </c>
      <c r="M79" s="65">
        <f>1/100</f>
        <v>0.01</v>
      </c>
      <c r="AD79" s="46"/>
      <c r="AE79" s="28"/>
    </row>
    <row r="80" spans="2:31" ht="18.75" x14ac:dyDescent="0.3">
      <c r="F80" s="3" t="s">
        <v>38</v>
      </c>
      <c r="M80" s="64">
        <f>(1+4)/100</f>
        <v>0.05</v>
      </c>
      <c r="AE80" s="46"/>
    </row>
    <row r="81" spans="3:31" ht="18.75" x14ac:dyDescent="0.3">
      <c r="F81" s="3" t="s">
        <v>39</v>
      </c>
      <c r="M81" s="64">
        <f>(4+1)/100</f>
        <v>0.05</v>
      </c>
      <c r="AD81" s="46"/>
      <c r="AE81" s="28"/>
    </row>
    <row r="82" spans="3:31" ht="18.75" x14ac:dyDescent="0.3">
      <c r="F82" s="3" t="s">
        <v>40</v>
      </c>
      <c r="M82" s="64">
        <f>(1+4+0.5*10)/100</f>
        <v>0.1</v>
      </c>
      <c r="AE82" s="46"/>
    </row>
    <row r="83" spans="3:31" ht="18.75" x14ac:dyDescent="0.3">
      <c r="F83" s="3" t="s">
        <v>41</v>
      </c>
      <c r="M83" s="64">
        <f>(1+4+0.5*10)/100</f>
        <v>0.1</v>
      </c>
      <c r="AD83" s="46"/>
      <c r="AE83" s="28"/>
    </row>
    <row r="85" spans="3:31" ht="15.75" x14ac:dyDescent="0.25">
      <c r="D85" s="15" t="s">
        <v>43</v>
      </c>
    </row>
    <row r="86" spans="3:31" ht="18.75" x14ac:dyDescent="0.3">
      <c r="E86" s="16" t="s">
        <v>44</v>
      </c>
      <c r="AD86" s="4"/>
    </row>
    <row r="87" spans="3:31" ht="18.75" x14ac:dyDescent="0.3">
      <c r="G87" s="13" t="s">
        <v>45</v>
      </c>
      <c r="AD87" s="4"/>
    </row>
    <row r="88" spans="3:31" ht="18.75" x14ac:dyDescent="0.3">
      <c r="G88" s="13"/>
      <c r="AD88" s="4"/>
    </row>
    <row r="89" spans="3:31" ht="18.75" x14ac:dyDescent="0.3">
      <c r="C89" s="4" t="s">
        <v>47</v>
      </c>
      <c r="G89" s="13"/>
      <c r="AD89" s="4"/>
    </row>
    <row r="90" spans="3:31" ht="18.75" x14ac:dyDescent="0.3">
      <c r="C90" s="4" t="s">
        <v>2</v>
      </c>
      <c r="G90" s="13"/>
      <c r="AD90" s="4"/>
    </row>
    <row r="92" spans="3:31" ht="15.75" x14ac:dyDescent="0.25">
      <c r="D92" s="3" t="s">
        <v>51</v>
      </c>
    </row>
    <row r="94" spans="3:31" ht="15.75" x14ac:dyDescent="0.25">
      <c r="O94" s="3"/>
    </row>
    <row r="95" spans="3:31" ht="15.75" x14ac:dyDescent="0.25">
      <c r="O95" s="3"/>
    </row>
    <row r="96" spans="3:31" ht="15.75" x14ac:dyDescent="0.25">
      <c r="O96" s="3"/>
    </row>
    <row r="97" spans="4:22" ht="15.75" x14ac:dyDescent="0.25">
      <c r="O97" s="3"/>
    </row>
    <row r="100" spans="4:22" x14ac:dyDescent="0.25">
      <c r="O100" s="2"/>
    </row>
    <row r="101" spans="4:22" x14ac:dyDescent="0.25">
      <c r="O101" s="24"/>
      <c r="P101" s="24"/>
      <c r="Q101" s="24"/>
      <c r="R101" s="24"/>
      <c r="S101" s="24"/>
      <c r="T101" s="24"/>
    </row>
    <row r="102" spans="4:22" x14ac:dyDescent="0.25">
      <c r="O102" s="25"/>
      <c r="P102" s="25"/>
      <c r="Q102" s="25"/>
      <c r="R102" s="25"/>
      <c r="S102" s="25"/>
      <c r="T102" s="25"/>
      <c r="U102" s="25"/>
      <c r="V102" s="25"/>
    </row>
    <row r="103" spans="4:22" x14ac:dyDescent="0.25">
      <c r="O103" s="26"/>
    </row>
    <row r="108" spans="4:22" ht="15.75" x14ac:dyDescent="0.25">
      <c r="D108" s="3" t="s">
        <v>59</v>
      </c>
      <c r="E108" s="3"/>
    </row>
    <row r="109" spans="4:22" ht="15.75" x14ac:dyDescent="0.25">
      <c r="D109" s="3" t="s">
        <v>60</v>
      </c>
      <c r="E109" s="3"/>
    </row>
    <row r="110" spans="4:22" ht="15.75" x14ac:dyDescent="0.25">
      <c r="D110" s="3"/>
      <c r="E110" s="3"/>
    </row>
    <row r="111" spans="4:22" ht="15.75" x14ac:dyDescent="0.25">
      <c r="D111" s="3"/>
      <c r="E111" s="30" t="s">
        <v>61</v>
      </c>
    </row>
    <row r="112" spans="4:22" ht="15.75" x14ac:dyDescent="0.25">
      <c r="D112" s="3"/>
      <c r="E112" s="3" t="s">
        <v>62</v>
      </c>
    </row>
    <row r="113" spans="4:11" ht="15.75" x14ac:dyDescent="0.25">
      <c r="D113" s="3"/>
      <c r="E113" s="3"/>
      <c r="K113" s="3" t="s">
        <v>63</v>
      </c>
    </row>
    <row r="129" spans="2:30" x14ac:dyDescent="0.25">
      <c r="Q129" s="25" t="s">
        <v>73</v>
      </c>
    </row>
    <row r="130" spans="2:30" x14ac:dyDescent="0.25">
      <c r="Q130" s="25" t="s">
        <v>74</v>
      </c>
    </row>
    <row r="131" spans="2:30" ht="21" x14ac:dyDescent="0.35">
      <c r="B131" s="14" t="s">
        <v>64</v>
      </c>
      <c r="D131" s="3" t="s">
        <v>75</v>
      </c>
    </row>
    <row r="132" spans="2:30" ht="15.75" x14ac:dyDescent="0.25">
      <c r="D132" s="3" t="s">
        <v>70</v>
      </c>
    </row>
    <row r="133" spans="2:30" ht="15.75" x14ac:dyDescent="0.25">
      <c r="D133" s="30" t="s">
        <v>76</v>
      </c>
    </row>
    <row r="135" spans="2:30" ht="15.75" x14ac:dyDescent="0.25">
      <c r="D135" s="3" t="s">
        <v>69</v>
      </c>
    </row>
    <row r="136" spans="2:30" ht="23.25" x14ac:dyDescent="0.35">
      <c r="J136" s="43" t="s">
        <v>67</v>
      </c>
      <c r="K136" s="27" t="s">
        <v>68</v>
      </c>
      <c r="L136" s="41"/>
      <c r="AD136" s="45"/>
    </row>
    <row r="137" spans="2:30" ht="15.75" x14ac:dyDescent="0.25">
      <c r="D137" s="3" t="s">
        <v>72</v>
      </c>
      <c r="J137" s="47">
        <f>SUM(AB10:AZ13)</f>
        <v>72</v>
      </c>
      <c r="K137" s="48">
        <f>J137/100</f>
        <v>0.72</v>
      </c>
      <c r="L137" s="42"/>
      <c r="N137" s="44" t="s">
        <v>155</v>
      </c>
    </row>
    <row r="138" spans="2:30" ht="18.75" x14ac:dyDescent="0.3">
      <c r="D138" s="3" t="s">
        <v>65</v>
      </c>
      <c r="J138" s="47">
        <f>SUM(AB15:AZ18)</f>
        <v>91</v>
      </c>
      <c r="K138" s="48">
        <f>J138/100</f>
        <v>0.91</v>
      </c>
      <c r="L138" s="42"/>
      <c r="N138" s="3" t="s">
        <v>71</v>
      </c>
      <c r="AC138" s="49"/>
      <c r="AD138" s="28"/>
    </row>
    <row r="139" spans="2:30" ht="18.75" x14ac:dyDescent="0.3">
      <c r="D139" s="3" t="s">
        <v>66</v>
      </c>
      <c r="J139" s="47">
        <f>SUM(AB20:AZ23)</f>
        <v>100</v>
      </c>
      <c r="K139" s="48">
        <f>J139/100</f>
        <v>1</v>
      </c>
      <c r="L139" s="42"/>
      <c r="AC139" s="49"/>
      <c r="AD139" s="28"/>
    </row>
    <row r="140" spans="2:30" ht="18.75" x14ac:dyDescent="0.3">
      <c r="D140" s="3"/>
      <c r="J140" s="77"/>
      <c r="K140" s="78"/>
      <c r="L140" s="42"/>
      <c r="AC140" s="49"/>
      <c r="AD140" s="28"/>
    </row>
    <row r="141" spans="2:30" ht="18.75" x14ac:dyDescent="0.3">
      <c r="D141" s="80" t="s">
        <v>198</v>
      </c>
      <c r="E141" s="81"/>
      <c r="F141" s="81"/>
      <c r="G141" s="81"/>
      <c r="H141" s="81"/>
      <c r="I141" s="81"/>
      <c r="J141" s="82"/>
      <c r="K141" s="83"/>
      <c r="L141" s="84"/>
      <c r="M141" s="81"/>
      <c r="N141" s="81"/>
      <c r="O141" s="81"/>
      <c r="P141" s="81"/>
      <c r="Q141" s="81"/>
      <c r="R141" s="81"/>
      <c r="S141" s="81"/>
      <c r="T141" s="81"/>
      <c r="U141" s="81"/>
      <c r="V141" s="81"/>
      <c r="W141" s="81"/>
      <c r="X141" s="81"/>
      <c r="Y141" s="81"/>
      <c r="Z141" s="79"/>
      <c r="AC141" s="49"/>
      <c r="AD141" s="28"/>
    </row>
    <row r="142" spans="2:30" ht="18.75" x14ac:dyDescent="0.3">
      <c r="D142" s="3"/>
      <c r="J142" s="77"/>
      <c r="K142" s="78"/>
      <c r="L142" s="42"/>
      <c r="AC142" s="49"/>
      <c r="AD142" s="28"/>
    </row>
    <row r="143" spans="2:30" ht="18.75" x14ac:dyDescent="0.3">
      <c r="J143" s="43" t="s">
        <v>67</v>
      </c>
      <c r="K143" s="27" t="s">
        <v>68</v>
      </c>
      <c r="L143" s="42"/>
      <c r="AC143" s="49"/>
      <c r="AD143" s="28"/>
    </row>
    <row r="144" spans="2:30" ht="18.75" x14ac:dyDescent="0.3">
      <c r="D144" s="3" t="s">
        <v>72</v>
      </c>
      <c r="J144" s="47">
        <f>D32+D33+D34</f>
        <v>70</v>
      </c>
      <c r="K144" s="48">
        <f>J144/100</f>
        <v>0.7</v>
      </c>
      <c r="L144" s="42"/>
      <c r="AC144" s="49"/>
      <c r="AD144" s="28"/>
    </row>
    <row r="145" spans="3:31" ht="18.75" x14ac:dyDescent="0.3">
      <c r="D145" s="3" t="s">
        <v>65</v>
      </c>
      <c r="J145" s="47">
        <f>0.5*D30+D31+D32+D33+D34+D35+0.5*D36</f>
        <v>94</v>
      </c>
      <c r="K145" s="48">
        <f>J145/100</f>
        <v>0.94</v>
      </c>
      <c r="L145" s="42"/>
      <c r="AC145" s="49"/>
      <c r="AD145" s="28"/>
    </row>
    <row r="146" spans="3:31" ht="18.75" x14ac:dyDescent="0.3">
      <c r="D146" s="3" t="s">
        <v>66</v>
      </c>
      <c r="J146" s="47">
        <f>SUM(D29:D37)</f>
        <v>100</v>
      </c>
      <c r="K146" s="48">
        <f>J146/100</f>
        <v>1</v>
      </c>
      <c r="L146" s="42"/>
      <c r="AC146" s="49"/>
      <c r="AD146" s="28"/>
    </row>
    <row r="147" spans="3:31" ht="18.75" x14ac:dyDescent="0.3">
      <c r="D147" s="3"/>
      <c r="J147" s="77"/>
      <c r="K147" s="78"/>
      <c r="L147" s="42"/>
      <c r="AC147" s="49"/>
      <c r="AD147" s="28"/>
    </row>
    <row r="148" spans="3:31" ht="18.75" x14ac:dyDescent="0.3">
      <c r="D148" s="3" t="s">
        <v>77</v>
      </c>
      <c r="E148" s="3" t="s">
        <v>78</v>
      </c>
      <c r="AC148" s="49"/>
      <c r="AD148" s="28"/>
    </row>
    <row r="149" spans="3:31" ht="18.75" x14ac:dyDescent="0.3">
      <c r="AC149" s="49"/>
      <c r="AD149" s="28"/>
      <c r="AE149" s="28"/>
    </row>
    <row r="150" spans="3:31" ht="18.75" x14ac:dyDescent="0.3">
      <c r="E150" s="74" t="s">
        <v>193</v>
      </c>
      <c r="F150" t="s">
        <v>68</v>
      </c>
      <c r="G150" t="s">
        <v>67</v>
      </c>
      <c r="AC150" s="49"/>
      <c r="AD150" s="28"/>
      <c r="AE150" s="28"/>
    </row>
    <row r="151" spans="3:31" ht="18.75" x14ac:dyDescent="0.3">
      <c r="E151" s="31" t="s">
        <v>12</v>
      </c>
      <c r="F151" s="73">
        <v>2.5000000000000001E-2</v>
      </c>
      <c r="G151" s="64">
        <f>50*F151</f>
        <v>1.25</v>
      </c>
      <c r="I151" t="s">
        <v>189</v>
      </c>
      <c r="AC151" s="49"/>
      <c r="AD151" s="28"/>
      <c r="AE151" s="28"/>
    </row>
    <row r="152" spans="3:31" ht="18.75" x14ac:dyDescent="0.3">
      <c r="E152" s="31" t="s">
        <v>185</v>
      </c>
      <c r="F152" s="73">
        <v>0.13500000000000001</v>
      </c>
      <c r="G152" s="64">
        <f t="shared" ref="G152:G155" si="80">50*F152</f>
        <v>6.75</v>
      </c>
      <c r="I152" t="s">
        <v>190</v>
      </c>
      <c r="AC152" s="49"/>
      <c r="AD152" s="28"/>
      <c r="AE152" s="28"/>
    </row>
    <row r="153" spans="3:31" ht="18.75" x14ac:dyDescent="0.3">
      <c r="E153" s="31" t="s">
        <v>186</v>
      </c>
      <c r="F153" s="73">
        <v>0.68</v>
      </c>
      <c r="G153" s="64">
        <f t="shared" si="80"/>
        <v>34</v>
      </c>
      <c r="I153" t="s">
        <v>191</v>
      </c>
      <c r="AC153" s="49"/>
      <c r="AD153" s="28"/>
      <c r="AE153" s="28"/>
    </row>
    <row r="154" spans="3:31" ht="18.75" x14ac:dyDescent="0.3">
      <c r="E154" s="31" t="s">
        <v>187</v>
      </c>
      <c r="F154" s="73">
        <v>0.13500000000000001</v>
      </c>
      <c r="G154" s="64">
        <f t="shared" si="80"/>
        <v>6.75</v>
      </c>
      <c r="I154" t="s">
        <v>192</v>
      </c>
      <c r="AC154" s="49"/>
      <c r="AD154" s="28"/>
      <c r="AE154" s="28"/>
    </row>
    <row r="155" spans="3:31" ht="18.75" x14ac:dyDescent="0.3">
      <c r="E155" s="31" t="s">
        <v>188</v>
      </c>
      <c r="F155" s="73">
        <v>2.5000000000000001E-2</v>
      </c>
      <c r="G155" s="64">
        <f t="shared" si="80"/>
        <v>1.25</v>
      </c>
      <c r="I155" t="s">
        <v>189</v>
      </c>
      <c r="AC155" s="49"/>
      <c r="AD155" s="28"/>
      <c r="AE155" s="28"/>
    </row>
    <row r="156" spans="3:31" ht="18.75" x14ac:dyDescent="0.3">
      <c r="AC156" s="49"/>
      <c r="AD156" s="28"/>
      <c r="AE156" s="28"/>
    </row>
    <row r="157" spans="3:31" ht="18.75" x14ac:dyDescent="0.3">
      <c r="AC157" s="49"/>
      <c r="AD157" s="28"/>
      <c r="AE157" s="28"/>
    </row>
    <row r="158" spans="3:31" ht="18.75" x14ac:dyDescent="0.3">
      <c r="C158" s="31" t="s">
        <v>79</v>
      </c>
      <c r="AE158" s="28"/>
    </row>
    <row r="171" spans="4:11" x14ac:dyDescent="0.25">
      <c r="K171" s="25" t="s">
        <v>87</v>
      </c>
    </row>
    <row r="173" spans="4:11" ht="15.75" x14ac:dyDescent="0.25">
      <c r="D173" s="3" t="s">
        <v>80</v>
      </c>
    </row>
    <row r="174" spans="4:11" ht="15.75" x14ac:dyDescent="0.25">
      <c r="D174" s="3" t="s">
        <v>81</v>
      </c>
    </row>
    <row r="176" spans="4:11" ht="15.75" x14ac:dyDescent="0.25">
      <c r="D176" s="3" t="s">
        <v>84</v>
      </c>
    </row>
    <row r="177" spans="4:16" ht="15.75" x14ac:dyDescent="0.25">
      <c r="D177" s="3" t="s">
        <v>82</v>
      </c>
    </row>
    <row r="178" spans="4:16" ht="15.75" x14ac:dyDescent="0.25">
      <c r="D178" s="3" t="s">
        <v>83</v>
      </c>
    </row>
    <row r="180" spans="4:16" ht="15.75" x14ac:dyDescent="0.25">
      <c r="D180" s="30" t="s">
        <v>85</v>
      </c>
    </row>
    <row r="181" spans="4:16" ht="15.75" x14ac:dyDescent="0.25">
      <c r="D181" s="3" t="s">
        <v>86</v>
      </c>
    </row>
    <row r="183" spans="4:16" ht="15.75" x14ac:dyDescent="0.25">
      <c r="D183" s="3" t="s">
        <v>88</v>
      </c>
    </row>
    <row r="184" spans="4:16" ht="15.75" x14ac:dyDescent="0.25">
      <c r="D184" s="3" t="s">
        <v>89</v>
      </c>
    </row>
    <row r="186" spans="4:16" ht="18.75" x14ac:dyDescent="0.3">
      <c r="E186" s="3" t="s">
        <v>98</v>
      </c>
    </row>
    <row r="187" spans="4:16" ht="18.75" x14ac:dyDescent="0.3">
      <c r="E187" s="3" t="s">
        <v>90</v>
      </c>
    </row>
    <row r="188" spans="4:16" x14ac:dyDescent="0.25">
      <c r="N188" s="32" t="s">
        <v>103</v>
      </c>
    </row>
    <row r="190" spans="4:16" ht="15.75" x14ac:dyDescent="0.25">
      <c r="N190" s="3" t="s">
        <v>91</v>
      </c>
    </row>
    <row r="191" spans="4:16" ht="15.75" x14ac:dyDescent="0.25">
      <c r="N191" s="3" t="s">
        <v>92</v>
      </c>
    </row>
    <row r="192" spans="4:16" x14ac:dyDescent="0.25">
      <c r="P192" s="32" t="s">
        <v>93</v>
      </c>
    </row>
    <row r="193" spans="5:22" x14ac:dyDescent="0.25">
      <c r="P193" s="33"/>
      <c r="Q193" s="33"/>
      <c r="R193" s="33"/>
      <c r="S193" s="33" t="s">
        <v>96</v>
      </c>
      <c r="T193" s="33"/>
      <c r="U193" s="33"/>
      <c r="V193" s="33"/>
    </row>
    <row r="194" spans="5:22" x14ac:dyDescent="0.25">
      <c r="N194" s="2" t="s">
        <v>94</v>
      </c>
      <c r="O194" s="2"/>
      <c r="P194" s="5">
        <v>1</v>
      </c>
      <c r="Q194" s="5">
        <v>15</v>
      </c>
      <c r="R194" s="5">
        <v>30</v>
      </c>
      <c r="S194" s="5">
        <v>45</v>
      </c>
      <c r="T194" s="5">
        <v>60</v>
      </c>
      <c r="U194" s="5">
        <v>75</v>
      </c>
      <c r="V194" s="5">
        <v>90</v>
      </c>
    </row>
    <row r="195" spans="5:22" x14ac:dyDescent="0.25">
      <c r="N195" s="32" t="s">
        <v>95</v>
      </c>
      <c r="O195" s="32"/>
      <c r="P195" s="34">
        <f>(P194-45)/15</f>
        <v>-2.9333333333333331</v>
      </c>
      <c r="Q195" s="35">
        <f>(Q194-45)/15</f>
        <v>-2</v>
      </c>
      <c r="R195" s="35">
        <f t="shared" ref="R195:T195" si="81">(R194-45)/15</f>
        <v>-1</v>
      </c>
      <c r="S195" s="35">
        <f t="shared" si="81"/>
        <v>0</v>
      </c>
      <c r="T195" s="35">
        <f t="shared" si="81"/>
        <v>1</v>
      </c>
      <c r="U195" s="35">
        <f>(U194-45)/15</f>
        <v>2</v>
      </c>
      <c r="V195" s="35">
        <f>(V194-45)/15</f>
        <v>3</v>
      </c>
    </row>
    <row r="196" spans="5:22" ht="15.75" x14ac:dyDescent="0.25">
      <c r="O196" s="30" t="s">
        <v>97</v>
      </c>
    </row>
    <row r="203" spans="5:22" ht="18.75" x14ac:dyDescent="0.3">
      <c r="E203" s="3" t="s">
        <v>99</v>
      </c>
    </row>
    <row r="204" spans="5:22" ht="15.75" x14ac:dyDescent="0.25">
      <c r="F204" s="3" t="s">
        <v>100</v>
      </c>
    </row>
    <row r="205" spans="5:22" ht="15.75" x14ac:dyDescent="0.25">
      <c r="F205" s="3" t="s">
        <v>101</v>
      </c>
    </row>
    <row r="207" spans="5:22" ht="15.75" x14ac:dyDescent="0.25">
      <c r="E207" s="30" t="s">
        <v>129</v>
      </c>
    </row>
    <row r="208" spans="5:22" ht="15.75" x14ac:dyDescent="0.25">
      <c r="E208" s="3"/>
    </row>
    <row r="209" spans="3:23" ht="21" x14ac:dyDescent="0.35">
      <c r="E209" s="3"/>
      <c r="J209" s="36" t="s">
        <v>102</v>
      </c>
    </row>
    <row r="210" spans="3:23" ht="21" x14ac:dyDescent="0.35">
      <c r="E210" s="29" t="s">
        <v>105</v>
      </c>
      <c r="H210" s="3"/>
      <c r="I210" s="3"/>
      <c r="J210" s="36"/>
    </row>
    <row r="211" spans="3:23" ht="21" x14ac:dyDescent="0.35">
      <c r="E211" s="3"/>
      <c r="F211" s="3" t="s">
        <v>113</v>
      </c>
      <c r="I211" s="3"/>
      <c r="J211" s="36"/>
    </row>
    <row r="212" spans="3:23" ht="21" x14ac:dyDescent="0.35">
      <c r="E212" s="3"/>
      <c r="F212" s="3" t="s">
        <v>106</v>
      </c>
      <c r="H212" s="3"/>
      <c r="J212" s="36"/>
    </row>
    <row r="213" spans="3:23" ht="21" x14ac:dyDescent="0.35">
      <c r="E213" s="3"/>
      <c r="F213" s="3" t="s">
        <v>112</v>
      </c>
      <c r="H213" s="3"/>
      <c r="J213" s="36"/>
    </row>
    <row r="214" spans="3:23" ht="21" x14ac:dyDescent="0.35">
      <c r="E214" s="3"/>
      <c r="F214" s="3" t="s">
        <v>107</v>
      </c>
      <c r="H214" s="3"/>
      <c r="J214" s="36"/>
    </row>
    <row r="215" spans="3:23" ht="21" x14ac:dyDescent="0.35">
      <c r="E215" s="3"/>
      <c r="F215" s="3" t="s">
        <v>109</v>
      </c>
      <c r="H215" s="3"/>
      <c r="J215" s="36"/>
    </row>
    <row r="216" spans="3:23" ht="21" x14ac:dyDescent="0.35">
      <c r="E216" s="3"/>
      <c r="F216" s="3" t="s">
        <v>108</v>
      </c>
      <c r="H216" s="3"/>
      <c r="J216" s="36"/>
    </row>
    <row r="217" spans="3:23" ht="21" x14ac:dyDescent="0.35">
      <c r="E217" s="3"/>
      <c r="F217" s="3" t="s">
        <v>110</v>
      </c>
      <c r="H217" s="3"/>
      <c r="J217" s="36"/>
    </row>
    <row r="218" spans="3:23" ht="21" x14ac:dyDescent="0.35">
      <c r="E218" s="3"/>
      <c r="F218" s="3"/>
      <c r="G218" s="3" t="s">
        <v>111</v>
      </c>
      <c r="H218" s="3"/>
      <c r="J218" s="36"/>
    </row>
    <row r="221" spans="3:23" x14ac:dyDescent="0.25">
      <c r="C221" s="37" t="s">
        <v>128</v>
      </c>
    </row>
    <row r="222" spans="3:23" x14ac:dyDescent="0.25">
      <c r="W222" s="37" t="s">
        <v>114</v>
      </c>
    </row>
    <row r="259" spans="2:36" ht="21" x14ac:dyDescent="0.35">
      <c r="B259" s="55" t="s">
        <v>166</v>
      </c>
      <c r="C259" s="18"/>
      <c r="D259" s="18"/>
    </row>
    <row r="260" spans="2:36" ht="21" x14ac:dyDescent="0.35">
      <c r="B260" s="14" t="s">
        <v>104</v>
      </c>
      <c r="C260" s="30" t="s">
        <v>127</v>
      </c>
    </row>
    <row r="261" spans="2:36" x14ac:dyDescent="0.25">
      <c r="G261" s="56" t="s">
        <v>167</v>
      </c>
      <c r="H261" s="56"/>
      <c r="I261" s="56"/>
      <c r="J261" s="56"/>
      <c r="K261" s="56"/>
      <c r="L261" s="56"/>
      <c r="M261" s="56"/>
      <c r="N261" s="56"/>
      <c r="O261" s="56"/>
      <c r="P261" s="56"/>
      <c r="Q261" s="56"/>
      <c r="R261" s="56"/>
      <c r="S261" s="56"/>
      <c r="T261" s="56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18"/>
      <c r="AG261" s="18"/>
      <c r="AH261" s="18"/>
    </row>
    <row r="262" spans="2:36" ht="18.75" x14ac:dyDescent="0.3">
      <c r="D262" s="29" t="s">
        <v>116</v>
      </c>
      <c r="AJ262" s="28"/>
    </row>
    <row r="263" spans="2:36" ht="15.75" x14ac:dyDescent="0.25">
      <c r="D263" s="3" t="s">
        <v>115</v>
      </c>
      <c r="E263" s="3" t="s">
        <v>117</v>
      </c>
      <c r="P263" s="26" t="s">
        <v>118</v>
      </c>
    </row>
    <row r="264" spans="2:36" ht="15.75" x14ac:dyDescent="0.25">
      <c r="D264" s="3"/>
      <c r="E264" s="3"/>
      <c r="P264" s="26"/>
    </row>
    <row r="265" spans="2:36" ht="15.75" x14ac:dyDescent="0.25">
      <c r="D265" s="3"/>
      <c r="E265" s="3"/>
      <c r="F265" s="2" t="s">
        <v>194</v>
      </c>
      <c r="G265" s="2"/>
      <c r="H265" s="2"/>
      <c r="I265" s="2"/>
      <c r="J265" s="76">
        <f>(75-75)/10</f>
        <v>0</v>
      </c>
      <c r="L265" t="s">
        <v>195</v>
      </c>
      <c r="P265" s="26"/>
    </row>
    <row r="266" spans="2:36" ht="15.75" x14ac:dyDescent="0.25">
      <c r="D266" s="3"/>
      <c r="E266" s="3"/>
      <c r="P266" s="26"/>
    </row>
    <row r="267" spans="2:36" ht="15.75" x14ac:dyDescent="0.25">
      <c r="D267" s="3" t="s">
        <v>119</v>
      </c>
      <c r="E267" s="3" t="s">
        <v>120</v>
      </c>
    </row>
    <row r="268" spans="2:36" ht="15.75" x14ac:dyDescent="0.25">
      <c r="D268" s="3"/>
      <c r="E268" s="3"/>
    </row>
    <row r="269" spans="2:36" ht="15.75" x14ac:dyDescent="0.25">
      <c r="D269" s="3"/>
      <c r="E269" s="3"/>
      <c r="F269" s="2" t="s">
        <v>194</v>
      </c>
      <c r="G269" s="2"/>
      <c r="H269" s="2"/>
      <c r="I269" s="2"/>
      <c r="J269" s="76">
        <f>(50-75)/10</f>
        <v>-2.5</v>
      </c>
    </row>
    <row r="270" spans="2:36" ht="23.25" x14ac:dyDescent="0.35">
      <c r="D270" s="3"/>
      <c r="E270" s="3"/>
      <c r="F270" t="s">
        <v>196</v>
      </c>
    </row>
    <row r="271" spans="2:36" ht="15.75" x14ac:dyDescent="0.25">
      <c r="D271" s="3"/>
      <c r="E271" s="3"/>
      <c r="F271" t="s">
        <v>197</v>
      </c>
      <c r="AA271" s="69">
        <f>NORMSDIST(-2.5)</f>
        <v>6.2096653257761331E-3</v>
      </c>
      <c r="AB271" t="s">
        <v>199</v>
      </c>
    </row>
    <row r="272" spans="2:36" ht="15.75" x14ac:dyDescent="0.25">
      <c r="D272" s="3"/>
      <c r="E272" s="3"/>
    </row>
    <row r="273" spans="4:18" ht="15.75" x14ac:dyDescent="0.25">
      <c r="D273" s="3" t="s">
        <v>121</v>
      </c>
      <c r="E273" s="3" t="s">
        <v>122</v>
      </c>
    </row>
    <row r="274" spans="4:18" ht="15.75" x14ac:dyDescent="0.25">
      <c r="D274" s="3"/>
      <c r="E274" s="3"/>
      <c r="I274" s="26" t="s">
        <v>124</v>
      </c>
      <c r="R274" s="25" t="s">
        <v>125</v>
      </c>
    </row>
    <row r="286" spans="4:18" ht="15.75" x14ac:dyDescent="0.25">
      <c r="D286" s="3" t="s">
        <v>77</v>
      </c>
      <c r="E286" s="3" t="s">
        <v>123</v>
      </c>
    </row>
    <row r="287" spans="4:18" ht="15.75" x14ac:dyDescent="0.25">
      <c r="D287" s="3"/>
      <c r="E287" s="3"/>
    </row>
    <row r="288" spans="4:18" ht="15.75" x14ac:dyDescent="0.25">
      <c r="D288" s="3"/>
      <c r="E288" s="3"/>
      <c r="F288" s="2" t="s">
        <v>200</v>
      </c>
      <c r="G288" s="2"/>
      <c r="H288" s="2"/>
      <c r="I288" s="2"/>
      <c r="K288" s="76">
        <f>(105-75)/10</f>
        <v>3</v>
      </c>
    </row>
    <row r="289" spans="4:16" ht="15.75" x14ac:dyDescent="0.25">
      <c r="D289" s="3"/>
      <c r="E289" s="3"/>
    </row>
    <row r="290" spans="4:16" ht="23.25" x14ac:dyDescent="0.35">
      <c r="D290" s="3"/>
      <c r="E290" s="3"/>
      <c r="F290" t="s">
        <v>201</v>
      </c>
    </row>
    <row r="291" spans="4:16" ht="15.75" x14ac:dyDescent="0.25">
      <c r="D291" s="3"/>
      <c r="E291" s="3"/>
      <c r="F291" t="s">
        <v>202</v>
      </c>
    </row>
    <row r="292" spans="4:16" ht="15.75" x14ac:dyDescent="0.25">
      <c r="D292" s="3"/>
      <c r="E292" s="3"/>
    </row>
    <row r="293" spans="4:16" ht="15.75" x14ac:dyDescent="0.25">
      <c r="D293" s="3"/>
      <c r="E293" s="3"/>
    </row>
    <row r="294" spans="4:16" ht="15.75" x14ac:dyDescent="0.25">
      <c r="D294" s="3" t="s">
        <v>126</v>
      </c>
      <c r="E294" s="3" t="s">
        <v>156</v>
      </c>
    </row>
    <row r="296" spans="4:16" x14ac:dyDescent="0.25">
      <c r="F296" t="s">
        <v>203</v>
      </c>
      <c r="J296" s="75">
        <f>1-0.9987</f>
        <v>1.2999999999999678E-3</v>
      </c>
    </row>
    <row r="298" spans="4:16" ht="15.75" x14ac:dyDescent="0.25">
      <c r="D298" s="3" t="s">
        <v>130</v>
      </c>
      <c r="E298" s="3" t="s">
        <v>142</v>
      </c>
    </row>
    <row r="300" spans="4:16" x14ac:dyDescent="0.25">
      <c r="F300" t="s">
        <v>204</v>
      </c>
      <c r="H300" t="s">
        <v>205</v>
      </c>
    </row>
    <row r="301" spans="4:16" x14ac:dyDescent="0.25">
      <c r="F301">
        <v>-1.19</v>
      </c>
      <c r="H301" s="64">
        <f>F301*10+75</f>
        <v>63.1</v>
      </c>
      <c r="P301" s="68"/>
    </row>
    <row r="302" spans="4:16" x14ac:dyDescent="0.25">
      <c r="F302">
        <v>1.19</v>
      </c>
      <c r="H302" s="64">
        <f>F302*10+75</f>
        <v>86.9</v>
      </c>
      <c r="P302" s="68"/>
    </row>
    <row r="304" spans="4:16" x14ac:dyDescent="0.25">
      <c r="F304" t="s">
        <v>206</v>
      </c>
    </row>
    <row r="305" spans="2:9" x14ac:dyDescent="0.25">
      <c r="F305" t="s">
        <v>207</v>
      </c>
    </row>
    <row r="307" spans="2:9" ht="21" x14ac:dyDescent="0.35">
      <c r="B307" s="14" t="s">
        <v>131</v>
      </c>
      <c r="C307" s="3" t="s">
        <v>132</v>
      </c>
      <c r="D307" s="3"/>
    </row>
    <row r="308" spans="2:9" ht="21" x14ac:dyDescent="0.35">
      <c r="C308" s="3"/>
      <c r="D308" s="3" t="s">
        <v>133</v>
      </c>
    </row>
    <row r="310" spans="2:9" ht="15.75" x14ac:dyDescent="0.25">
      <c r="C310" s="3" t="s">
        <v>134</v>
      </c>
      <c r="D310" s="3"/>
      <c r="E310" s="3"/>
    </row>
    <row r="311" spans="2:9" ht="15.75" x14ac:dyDescent="0.25">
      <c r="C311" s="3" t="s">
        <v>135</v>
      </c>
      <c r="D311" s="3"/>
      <c r="E311" s="3"/>
    </row>
    <row r="312" spans="2:9" ht="15.75" x14ac:dyDescent="0.25">
      <c r="C312" s="3" t="s">
        <v>136</v>
      </c>
      <c r="D312" s="3"/>
      <c r="E312" s="3"/>
    </row>
    <row r="313" spans="2:9" ht="15.75" x14ac:dyDescent="0.25">
      <c r="C313" s="3"/>
      <c r="D313" s="3"/>
      <c r="E313" s="3"/>
    </row>
    <row r="314" spans="2:9" ht="15.75" x14ac:dyDescent="0.25">
      <c r="C314" s="3" t="s">
        <v>138</v>
      </c>
      <c r="D314" s="3" t="s">
        <v>137</v>
      </c>
      <c r="E314" s="3"/>
    </row>
    <row r="315" spans="2:9" ht="15.75" x14ac:dyDescent="0.25">
      <c r="C315" s="3"/>
      <c r="D315" s="3"/>
      <c r="E315" s="3"/>
    </row>
    <row r="316" spans="2:9" ht="15.75" x14ac:dyDescent="0.25">
      <c r="C316" s="3"/>
      <c r="D316" s="3"/>
      <c r="E316" s="3"/>
      <c r="F316" t="s">
        <v>208</v>
      </c>
      <c r="I316" t="s">
        <v>209</v>
      </c>
    </row>
    <row r="317" spans="2:9" ht="15.75" x14ac:dyDescent="0.25">
      <c r="C317" s="3"/>
      <c r="D317" s="3"/>
      <c r="E317" s="3"/>
      <c r="F317" s="62">
        <v>0.01</v>
      </c>
      <c r="I317" s="85">
        <f>NORMSINV(F317)</f>
        <v>-2.3263478740408408</v>
      </c>
    </row>
    <row r="318" spans="2:9" ht="15.75" x14ac:dyDescent="0.25">
      <c r="C318" s="3"/>
      <c r="D318" s="3"/>
      <c r="E318" s="3"/>
      <c r="F318" s="62">
        <v>0.05</v>
      </c>
      <c r="I318" s="85">
        <f t="shared" ref="I318:I319" si="82">NORMSINV(F318)</f>
        <v>-1.6448536269514726</v>
      </c>
    </row>
    <row r="319" spans="2:9" ht="15.75" x14ac:dyDescent="0.25">
      <c r="C319" s="3"/>
      <c r="D319" s="3"/>
      <c r="E319" s="3"/>
      <c r="F319" s="62">
        <v>0.1</v>
      </c>
      <c r="I319" s="85">
        <f t="shared" si="82"/>
        <v>-1.2815515655446006</v>
      </c>
    </row>
    <row r="320" spans="2:9" ht="15.75" x14ac:dyDescent="0.25">
      <c r="C320" s="3"/>
      <c r="D320" s="3"/>
      <c r="E320" s="3"/>
    </row>
    <row r="321" spans="3:11" ht="15.75" x14ac:dyDescent="0.25">
      <c r="C321" s="3"/>
      <c r="D321" s="3"/>
      <c r="E321" s="3"/>
      <c r="F321" t="s">
        <v>210</v>
      </c>
    </row>
    <row r="322" spans="3:11" ht="15.75" x14ac:dyDescent="0.25">
      <c r="C322" s="3"/>
      <c r="D322" s="3"/>
      <c r="E322" s="3"/>
      <c r="F322" t="s">
        <v>211</v>
      </c>
    </row>
    <row r="323" spans="3:11" ht="15.75" x14ac:dyDescent="0.25">
      <c r="C323" s="3"/>
      <c r="D323" s="3"/>
      <c r="E323" s="3"/>
      <c r="F323" t="s">
        <v>212</v>
      </c>
    </row>
    <row r="324" spans="3:11" ht="15.75" x14ac:dyDescent="0.25">
      <c r="C324" s="3"/>
      <c r="D324" s="3"/>
      <c r="E324" s="3"/>
    </row>
    <row r="325" spans="3:11" ht="15.75" x14ac:dyDescent="0.25">
      <c r="C325" s="3"/>
      <c r="D325" s="3"/>
      <c r="E325" s="3"/>
      <c r="F325" t="s">
        <v>213</v>
      </c>
    </row>
    <row r="326" spans="3:11" ht="15.75" x14ac:dyDescent="0.25">
      <c r="C326" s="3"/>
      <c r="D326" s="3"/>
      <c r="E326" s="3"/>
    </row>
    <row r="327" spans="3:11" ht="15.75" x14ac:dyDescent="0.25">
      <c r="C327" s="3"/>
      <c r="D327" s="3"/>
      <c r="E327" s="3"/>
    </row>
    <row r="328" spans="3:11" ht="15.75" x14ac:dyDescent="0.25">
      <c r="C328" s="3" t="s">
        <v>139</v>
      </c>
      <c r="D328" s="3" t="s">
        <v>140</v>
      </c>
      <c r="E328" s="3"/>
    </row>
    <row r="329" spans="3:11" ht="15.75" x14ac:dyDescent="0.25">
      <c r="C329" s="3"/>
      <c r="D329" s="3"/>
      <c r="E329" s="3" t="s">
        <v>141</v>
      </c>
    </row>
    <row r="330" spans="3:11" ht="15.75" x14ac:dyDescent="0.25">
      <c r="C330" s="3"/>
      <c r="D330" s="3"/>
      <c r="E330" s="3"/>
    </row>
    <row r="331" spans="3:11" ht="15.75" x14ac:dyDescent="0.25">
      <c r="C331" s="3"/>
      <c r="D331" s="3"/>
      <c r="E331" s="3"/>
      <c r="F331" t="s">
        <v>268</v>
      </c>
      <c r="I331" t="s">
        <v>269</v>
      </c>
    </row>
    <row r="332" spans="3:11" ht="15.75" x14ac:dyDescent="0.25">
      <c r="C332" s="3"/>
      <c r="D332" s="3"/>
      <c r="E332" s="3"/>
      <c r="F332" s="62">
        <v>0.01</v>
      </c>
      <c r="I332" s="85">
        <f>NORMSINV(1-F332)</f>
        <v>2.3263478740408408</v>
      </c>
      <c r="K332" s="69">
        <f>+NORMSDIST(2.33)</f>
        <v>0.99009692444083575</v>
      </c>
    </row>
    <row r="333" spans="3:11" ht="15.75" x14ac:dyDescent="0.25">
      <c r="C333" s="3"/>
      <c r="D333" s="3"/>
      <c r="E333" s="3"/>
      <c r="F333" s="62">
        <v>0.05</v>
      </c>
      <c r="I333" s="85">
        <f t="shared" ref="I333:I334" si="83">NORMSINV(1-F333)</f>
        <v>1.6448536269514715</v>
      </c>
      <c r="K333" s="69">
        <f>+NORMSDIST(1.64)</f>
        <v>0.94949741652589625</v>
      </c>
    </row>
    <row r="334" spans="3:11" ht="15.75" x14ac:dyDescent="0.25">
      <c r="C334" s="3"/>
      <c r="D334" s="3"/>
      <c r="E334" s="3"/>
      <c r="F334" s="62">
        <v>0.1</v>
      </c>
      <c r="I334" s="85">
        <f t="shared" si="83"/>
        <v>1.2815515655446006</v>
      </c>
      <c r="K334" s="69">
        <f>+NORMSDIST(1.28)</f>
        <v>0.89972743204555794</v>
      </c>
    </row>
    <row r="335" spans="3:11" ht="15.75" x14ac:dyDescent="0.25">
      <c r="C335" s="3"/>
      <c r="D335" s="3"/>
      <c r="E335" s="3"/>
    </row>
    <row r="336" spans="3:11" ht="15.75" x14ac:dyDescent="0.25">
      <c r="C336" s="3"/>
      <c r="D336" s="3"/>
      <c r="E336" s="3"/>
      <c r="F336" t="s">
        <v>270</v>
      </c>
    </row>
    <row r="337" spans="2:13" ht="15.75" x14ac:dyDescent="0.25">
      <c r="C337" s="3"/>
      <c r="D337" s="3"/>
      <c r="E337" s="3"/>
      <c r="F337" t="s">
        <v>271</v>
      </c>
    </row>
    <row r="338" spans="2:13" ht="15.75" x14ac:dyDescent="0.25">
      <c r="C338" s="3"/>
      <c r="D338" s="3"/>
      <c r="E338" s="3"/>
      <c r="F338" t="s">
        <v>272</v>
      </c>
    </row>
    <row r="339" spans="2:13" ht="15.75" x14ac:dyDescent="0.25">
      <c r="C339" s="3"/>
      <c r="D339" s="3"/>
      <c r="E339" s="3"/>
    </row>
    <row r="340" spans="2:13" ht="15.75" x14ac:dyDescent="0.25">
      <c r="C340" s="3"/>
      <c r="D340" s="3"/>
      <c r="E340" s="3"/>
      <c r="F340" t="s">
        <v>273</v>
      </c>
    </row>
    <row r="342" spans="2:13" ht="21" x14ac:dyDescent="0.35">
      <c r="B342" s="14" t="s">
        <v>150</v>
      </c>
      <c r="C342" s="51" t="s">
        <v>162</v>
      </c>
      <c r="D342" s="3"/>
      <c r="E342" s="3"/>
      <c r="F342" s="2"/>
    </row>
    <row r="343" spans="2:13" ht="15.75" x14ac:dyDescent="0.25">
      <c r="C343" s="3"/>
      <c r="D343" s="29"/>
      <c r="E343" s="3"/>
      <c r="F343" s="2"/>
      <c r="G343" s="56" t="s">
        <v>168</v>
      </c>
      <c r="H343" s="56"/>
      <c r="I343" s="56"/>
      <c r="J343" s="56"/>
      <c r="K343" s="56"/>
      <c r="L343" s="56"/>
      <c r="M343" s="56"/>
    </row>
    <row r="344" spans="2:13" ht="15.75" x14ac:dyDescent="0.25">
      <c r="C344" s="54" t="s">
        <v>163</v>
      </c>
      <c r="D344" s="3"/>
      <c r="E344" s="3"/>
      <c r="F344" s="2"/>
    </row>
    <row r="345" spans="2:13" ht="15.75" x14ac:dyDescent="0.25">
      <c r="C345" s="54"/>
      <c r="D345" s="3"/>
      <c r="E345" s="3"/>
      <c r="F345" s="2"/>
    </row>
    <row r="346" spans="2:13" ht="15.75" x14ac:dyDescent="0.25">
      <c r="C346" s="54"/>
      <c r="D346" s="3"/>
      <c r="E346" s="3"/>
      <c r="F346" s="2"/>
    </row>
    <row r="347" spans="2:13" ht="15.75" x14ac:dyDescent="0.25">
      <c r="C347" s="54"/>
      <c r="D347" s="3"/>
      <c r="E347" s="3"/>
      <c r="F347" s="2"/>
    </row>
    <row r="348" spans="2:13" ht="15.75" x14ac:dyDescent="0.25">
      <c r="C348" s="54"/>
      <c r="D348" s="3"/>
      <c r="E348" s="3"/>
      <c r="F348" s="2"/>
    </row>
    <row r="349" spans="2:13" ht="15.75" x14ac:dyDescent="0.25">
      <c r="C349" s="54"/>
      <c r="D349" s="3"/>
      <c r="E349" s="3"/>
      <c r="F349" s="2"/>
    </row>
    <row r="350" spans="2:13" ht="15.75" x14ac:dyDescent="0.25">
      <c r="C350" s="54"/>
      <c r="D350" s="3"/>
      <c r="E350" s="3"/>
      <c r="F350" s="2"/>
    </row>
    <row r="351" spans="2:13" ht="15.75" x14ac:dyDescent="0.25">
      <c r="C351" s="54"/>
      <c r="D351" s="3"/>
      <c r="E351" s="3"/>
      <c r="F351" s="2"/>
    </row>
    <row r="352" spans="2:13" ht="15.75" x14ac:dyDescent="0.25">
      <c r="C352" s="54"/>
      <c r="D352" s="3"/>
      <c r="E352" s="3"/>
      <c r="F352" s="2"/>
    </row>
    <row r="353" spans="3:6" ht="15.75" x14ac:dyDescent="0.25">
      <c r="C353" s="54"/>
      <c r="D353" s="3"/>
      <c r="E353" s="3"/>
      <c r="F353" s="2"/>
    </row>
    <row r="354" spans="3:6" ht="15.75" x14ac:dyDescent="0.25">
      <c r="C354" s="54"/>
      <c r="D354" s="3"/>
      <c r="E354" s="3"/>
      <c r="F354" s="2"/>
    </row>
    <row r="355" spans="3:6" ht="15.75" x14ac:dyDescent="0.25">
      <c r="C355" s="54"/>
      <c r="D355" s="3"/>
      <c r="E355" s="3"/>
      <c r="F355" s="2"/>
    </row>
    <row r="356" spans="3:6" ht="15.75" x14ac:dyDescent="0.25">
      <c r="C356" s="54"/>
      <c r="D356" s="3"/>
      <c r="E356" s="3"/>
      <c r="F356" s="2"/>
    </row>
    <row r="357" spans="3:6" ht="15.75" x14ac:dyDescent="0.25">
      <c r="C357" s="54"/>
      <c r="D357" s="3"/>
      <c r="E357" s="3"/>
      <c r="F357" s="2"/>
    </row>
    <row r="358" spans="3:6" ht="15.75" x14ac:dyDescent="0.25">
      <c r="C358" s="54"/>
      <c r="D358" s="3"/>
      <c r="E358" s="3"/>
      <c r="F358" s="2"/>
    </row>
    <row r="359" spans="3:6" ht="15.75" x14ac:dyDescent="0.25">
      <c r="C359" s="54"/>
      <c r="D359" s="3"/>
      <c r="E359" s="3"/>
      <c r="F359" s="2"/>
    </row>
    <row r="360" spans="3:6" ht="15.75" x14ac:dyDescent="0.25">
      <c r="C360" s="54"/>
      <c r="D360" s="3"/>
      <c r="E360" s="3"/>
      <c r="F360" s="2"/>
    </row>
    <row r="361" spans="3:6" ht="15.75" x14ac:dyDescent="0.25">
      <c r="C361" s="54"/>
      <c r="D361" s="3"/>
      <c r="E361" s="3"/>
      <c r="F361" s="2"/>
    </row>
    <row r="362" spans="3:6" ht="15.75" x14ac:dyDescent="0.25">
      <c r="C362" s="54"/>
      <c r="D362" s="3"/>
      <c r="E362" s="3"/>
      <c r="F362" s="2"/>
    </row>
    <row r="363" spans="3:6" ht="15.75" x14ac:dyDescent="0.25">
      <c r="C363" s="54"/>
      <c r="D363" s="3"/>
      <c r="E363" s="3"/>
      <c r="F363" s="2"/>
    </row>
    <row r="364" spans="3:6" ht="15.75" x14ac:dyDescent="0.25">
      <c r="C364" s="54" t="s">
        <v>164</v>
      </c>
      <c r="D364" s="3"/>
      <c r="E364" s="3"/>
      <c r="F364" s="2"/>
    </row>
    <row r="365" spans="3:6" ht="15.75" x14ac:dyDescent="0.25">
      <c r="C365" s="54"/>
      <c r="D365" s="3"/>
      <c r="E365" s="3"/>
      <c r="F365" s="2"/>
    </row>
    <row r="366" spans="3:6" ht="15.75" x14ac:dyDescent="0.25">
      <c r="C366" s="54"/>
      <c r="D366" s="3"/>
      <c r="E366" s="3"/>
      <c r="F366" s="2"/>
    </row>
    <row r="367" spans="3:6" ht="15.75" x14ac:dyDescent="0.25">
      <c r="C367" s="54"/>
      <c r="D367" s="3"/>
      <c r="E367" s="3"/>
      <c r="F367" s="2"/>
    </row>
    <row r="368" spans="3:6" ht="15.75" x14ac:dyDescent="0.25">
      <c r="C368" s="54"/>
      <c r="D368" s="3"/>
      <c r="E368" s="3"/>
      <c r="F368" s="2"/>
    </row>
    <row r="369" spans="3:6" ht="15.75" x14ac:dyDescent="0.25">
      <c r="C369" s="54"/>
      <c r="D369" s="3"/>
      <c r="E369" s="3"/>
      <c r="F369" s="2"/>
    </row>
    <row r="370" spans="3:6" ht="15.75" x14ac:dyDescent="0.25">
      <c r="C370" s="54"/>
      <c r="D370" s="3"/>
      <c r="E370" s="3"/>
      <c r="F370" s="2"/>
    </row>
    <row r="371" spans="3:6" ht="15.75" x14ac:dyDescent="0.25">
      <c r="C371" s="54"/>
      <c r="D371" s="3"/>
      <c r="E371" s="3"/>
      <c r="F371" s="2"/>
    </row>
    <row r="372" spans="3:6" ht="15.75" x14ac:dyDescent="0.25">
      <c r="C372" s="54"/>
      <c r="D372" s="3"/>
      <c r="E372" s="3"/>
      <c r="F372" s="2"/>
    </row>
    <row r="373" spans="3:6" ht="15.75" x14ac:dyDescent="0.25">
      <c r="C373" s="54"/>
      <c r="D373" s="3"/>
      <c r="E373" s="3"/>
      <c r="F373" s="2"/>
    </row>
    <row r="374" spans="3:6" ht="15.75" x14ac:dyDescent="0.25">
      <c r="C374" s="54"/>
      <c r="D374" s="3"/>
      <c r="E374" s="3"/>
      <c r="F374" s="2"/>
    </row>
    <row r="375" spans="3:6" ht="15.75" x14ac:dyDescent="0.25">
      <c r="C375" s="54"/>
      <c r="D375" s="3"/>
      <c r="E375" s="3"/>
      <c r="F375" s="2"/>
    </row>
    <row r="376" spans="3:6" ht="15.75" x14ac:dyDescent="0.25">
      <c r="C376" s="54"/>
      <c r="D376" s="3"/>
      <c r="E376" s="3"/>
      <c r="F376" s="2"/>
    </row>
    <row r="377" spans="3:6" ht="15.75" x14ac:dyDescent="0.25">
      <c r="C377" s="54"/>
      <c r="D377" s="3"/>
      <c r="E377" s="3"/>
      <c r="F377" s="2"/>
    </row>
    <row r="378" spans="3:6" ht="15.75" x14ac:dyDescent="0.25">
      <c r="C378" s="54"/>
      <c r="D378" s="3"/>
      <c r="E378" s="3"/>
      <c r="F378" s="2"/>
    </row>
    <row r="379" spans="3:6" ht="15.75" x14ac:dyDescent="0.25">
      <c r="C379" s="54"/>
      <c r="D379" s="3"/>
      <c r="E379" s="3"/>
      <c r="F379" s="2"/>
    </row>
    <row r="380" spans="3:6" ht="15.75" x14ac:dyDescent="0.25">
      <c r="C380" s="54"/>
      <c r="D380" s="3"/>
      <c r="E380" s="3"/>
      <c r="F380" s="2"/>
    </row>
    <row r="381" spans="3:6" ht="15.75" x14ac:dyDescent="0.25">
      <c r="C381" s="54"/>
      <c r="D381" s="3"/>
      <c r="E381" s="3"/>
      <c r="F381" s="2"/>
    </row>
    <row r="382" spans="3:6" ht="15.75" x14ac:dyDescent="0.25">
      <c r="C382" s="54"/>
      <c r="D382" s="3"/>
      <c r="E382" s="3"/>
      <c r="F382" s="2"/>
    </row>
    <row r="383" spans="3:6" ht="15.75" x14ac:dyDescent="0.25">
      <c r="C383" s="54" t="s">
        <v>149</v>
      </c>
      <c r="D383" s="3"/>
      <c r="E383" s="3"/>
      <c r="F383" s="2"/>
    </row>
    <row r="384" spans="3:6" ht="15.75" x14ac:dyDescent="0.25">
      <c r="C384" s="54"/>
      <c r="D384" s="3"/>
      <c r="E384" s="3"/>
      <c r="F384" s="2"/>
    </row>
    <row r="385" spans="2:11" ht="15.75" x14ac:dyDescent="0.25">
      <c r="C385" s="54"/>
      <c r="D385" s="3"/>
      <c r="E385" s="3"/>
      <c r="F385" s="2" t="s">
        <v>214</v>
      </c>
    </row>
    <row r="386" spans="2:11" ht="15.75" x14ac:dyDescent="0.25">
      <c r="C386" s="54"/>
      <c r="D386" s="3"/>
      <c r="E386" s="3"/>
      <c r="F386" s="2" t="s">
        <v>215</v>
      </c>
    </row>
    <row r="387" spans="2:11" ht="15.75" x14ac:dyDescent="0.25">
      <c r="C387" s="54"/>
      <c r="D387" s="3"/>
      <c r="E387" s="3"/>
      <c r="F387" s="2" t="s">
        <v>216</v>
      </c>
    </row>
    <row r="388" spans="2:11" ht="15.75" x14ac:dyDescent="0.25">
      <c r="C388" s="54"/>
      <c r="D388" s="3"/>
      <c r="E388" s="3"/>
      <c r="F388" s="2" t="s">
        <v>217</v>
      </c>
    </row>
    <row r="389" spans="2:11" x14ac:dyDescent="0.25">
      <c r="C389" s="38"/>
    </row>
    <row r="390" spans="2:11" ht="21" x14ac:dyDescent="0.35">
      <c r="B390" s="14" t="s">
        <v>151</v>
      </c>
      <c r="C390" s="51" t="s">
        <v>153</v>
      </c>
      <c r="D390" s="3"/>
      <c r="E390" s="3"/>
    </row>
    <row r="391" spans="2:11" ht="15.75" x14ac:dyDescent="0.25">
      <c r="C391" s="54" t="s">
        <v>143</v>
      </c>
      <c r="D391" s="3"/>
      <c r="E391" s="3"/>
    </row>
    <row r="392" spans="2:11" ht="15.75" x14ac:dyDescent="0.25">
      <c r="C392" s="54"/>
      <c r="D392" s="3"/>
      <c r="E392" s="3"/>
    </row>
    <row r="393" spans="2:11" ht="15.75" x14ac:dyDescent="0.25">
      <c r="C393" s="54"/>
      <c r="D393" s="3"/>
      <c r="E393" s="3"/>
      <c r="F393" s="2" t="s">
        <v>218</v>
      </c>
      <c r="G393" s="2"/>
      <c r="H393" s="2"/>
      <c r="I393" s="2"/>
      <c r="K393" s="76">
        <f>(70-77)/9</f>
        <v>-0.77777777777777779</v>
      </c>
    </row>
    <row r="394" spans="2:11" ht="15.75" x14ac:dyDescent="0.25">
      <c r="C394" s="54"/>
      <c r="D394" s="3"/>
      <c r="E394" s="3"/>
    </row>
    <row r="395" spans="2:11" ht="23.25" x14ac:dyDescent="0.35">
      <c r="C395" s="54"/>
      <c r="D395" s="3"/>
      <c r="E395" s="3"/>
      <c r="F395" t="s">
        <v>219</v>
      </c>
    </row>
    <row r="396" spans="2:11" ht="15.75" x14ac:dyDescent="0.25">
      <c r="C396" s="54"/>
      <c r="D396" s="3"/>
      <c r="E396" s="3"/>
      <c r="F396" t="s">
        <v>220</v>
      </c>
    </row>
    <row r="397" spans="2:11" ht="15.75" x14ac:dyDescent="0.25">
      <c r="C397" s="54"/>
      <c r="D397" s="3"/>
      <c r="E397" s="3"/>
    </row>
    <row r="398" spans="2:11" ht="15.75" x14ac:dyDescent="0.25">
      <c r="C398" s="54" t="s">
        <v>144</v>
      </c>
      <c r="D398" s="3"/>
      <c r="E398" s="3"/>
    </row>
    <row r="399" spans="2:11" ht="15.75" x14ac:dyDescent="0.25">
      <c r="C399" s="54"/>
      <c r="D399" s="3"/>
      <c r="E399" s="3"/>
    </row>
    <row r="400" spans="2:11" ht="15.75" x14ac:dyDescent="0.25">
      <c r="C400" s="54"/>
      <c r="D400" s="3"/>
      <c r="E400" s="3"/>
      <c r="F400" s="2" t="s">
        <v>221</v>
      </c>
      <c r="G400" s="2"/>
      <c r="H400" s="2"/>
      <c r="I400" s="2"/>
      <c r="K400" s="76">
        <f>(65-77)/9</f>
        <v>-1.3333333333333333</v>
      </c>
    </row>
    <row r="401" spans="3:27" ht="15.75" x14ac:dyDescent="0.25">
      <c r="C401" s="54"/>
      <c r="D401" s="3"/>
      <c r="E401" s="3"/>
    </row>
    <row r="402" spans="3:27" ht="23.25" x14ac:dyDescent="0.35">
      <c r="C402" s="54"/>
      <c r="D402" s="3"/>
      <c r="E402" s="3"/>
      <c r="F402" t="s">
        <v>222</v>
      </c>
    </row>
    <row r="403" spans="3:27" ht="15.75" x14ac:dyDescent="0.25">
      <c r="C403" s="54"/>
      <c r="D403" s="3"/>
      <c r="E403" s="3"/>
      <c r="F403" t="s">
        <v>223</v>
      </c>
    </row>
    <row r="404" spans="3:27" ht="15.75" x14ac:dyDescent="0.25">
      <c r="C404" s="54"/>
      <c r="D404" s="3"/>
      <c r="E404" s="3"/>
    </row>
    <row r="405" spans="3:27" ht="15.75" x14ac:dyDescent="0.25">
      <c r="C405" s="54" t="s">
        <v>145</v>
      </c>
      <c r="D405" s="3"/>
      <c r="E405" s="3"/>
    </row>
    <row r="406" spans="3:27" ht="15.75" x14ac:dyDescent="0.25">
      <c r="C406" s="54"/>
      <c r="D406" s="3"/>
      <c r="E406" s="3"/>
    </row>
    <row r="407" spans="3:27" ht="15.75" x14ac:dyDescent="0.25">
      <c r="C407" s="54"/>
      <c r="D407" s="3"/>
      <c r="E407" s="3"/>
      <c r="F407" t="s">
        <v>224</v>
      </c>
    </row>
    <row r="408" spans="3:27" ht="15.75" x14ac:dyDescent="0.25">
      <c r="C408" s="54"/>
      <c r="D408" s="3"/>
      <c r="E408" s="3"/>
      <c r="F408" t="s">
        <v>225</v>
      </c>
      <c r="J408" s="64">
        <f>1.28*9+77</f>
        <v>88.52</v>
      </c>
      <c r="AA408" s="69"/>
    </row>
    <row r="409" spans="3:27" ht="15.75" x14ac:dyDescent="0.25">
      <c r="C409" s="54"/>
      <c r="D409" s="3"/>
      <c r="E409" s="3"/>
      <c r="F409">
        <f>(88.52-77)/9</f>
        <v>1.2799999999999996</v>
      </c>
    </row>
    <row r="410" spans="3:27" ht="15.75" x14ac:dyDescent="0.25">
      <c r="C410" s="54"/>
      <c r="D410" s="3"/>
      <c r="E410" s="3"/>
    </row>
    <row r="411" spans="3:27" ht="15.75" x14ac:dyDescent="0.25">
      <c r="C411" s="54" t="s">
        <v>146</v>
      </c>
      <c r="D411" s="3"/>
      <c r="E411" s="3"/>
    </row>
    <row r="412" spans="3:27" ht="15.75" x14ac:dyDescent="0.25">
      <c r="C412" s="54"/>
      <c r="D412" s="3"/>
      <c r="E412" s="3"/>
    </row>
    <row r="413" spans="3:27" ht="15.75" x14ac:dyDescent="0.25">
      <c r="C413" s="54"/>
      <c r="D413" s="3"/>
      <c r="E413" s="3"/>
      <c r="F413" t="s">
        <v>226</v>
      </c>
    </row>
    <row r="414" spans="3:27" ht="15.75" x14ac:dyDescent="0.25">
      <c r="C414" s="54"/>
      <c r="D414" s="3"/>
      <c r="E414" s="3"/>
      <c r="F414" t="s">
        <v>227</v>
      </c>
    </row>
    <row r="415" spans="3:27" ht="15.75" x14ac:dyDescent="0.25">
      <c r="C415" s="54"/>
      <c r="D415" s="3"/>
      <c r="E415" s="3"/>
    </row>
    <row r="416" spans="3:27" x14ac:dyDescent="0.25">
      <c r="C416" s="39"/>
    </row>
    <row r="417" spans="2:9" ht="21" x14ac:dyDescent="0.35">
      <c r="B417" s="14" t="s">
        <v>152</v>
      </c>
      <c r="C417" s="51" t="s">
        <v>154</v>
      </c>
      <c r="D417" s="3"/>
      <c r="E417" s="3"/>
    </row>
    <row r="418" spans="2:9" ht="15.75" x14ac:dyDescent="0.25">
      <c r="C418" s="54" t="s">
        <v>147</v>
      </c>
      <c r="D418" s="3"/>
      <c r="E418" s="3"/>
    </row>
    <row r="419" spans="2:9" ht="15.75" x14ac:dyDescent="0.25">
      <c r="C419" s="54"/>
      <c r="D419" s="3"/>
      <c r="E419" s="3"/>
    </row>
    <row r="420" spans="2:9" ht="15.75" x14ac:dyDescent="0.25">
      <c r="C420" s="54"/>
      <c r="D420" s="3"/>
      <c r="E420" t="s">
        <v>228</v>
      </c>
    </row>
    <row r="421" spans="2:9" ht="15.75" x14ac:dyDescent="0.25">
      <c r="C421" s="54"/>
      <c r="D421" s="3"/>
      <c r="E421" t="s">
        <v>229</v>
      </c>
      <c r="I421" s="64">
        <f>0.84*6+70</f>
        <v>75.040000000000006</v>
      </c>
    </row>
    <row r="422" spans="2:9" ht="15.75" x14ac:dyDescent="0.25">
      <c r="C422" s="54"/>
      <c r="D422" s="3"/>
      <c r="E422" s="86" t="s">
        <v>230</v>
      </c>
    </row>
    <row r="423" spans="2:9" ht="15.75" x14ac:dyDescent="0.25">
      <c r="C423" s="54"/>
      <c r="D423" s="3"/>
      <c r="E423" s="3"/>
    </row>
    <row r="424" spans="2:9" ht="15.75" x14ac:dyDescent="0.25">
      <c r="C424" s="54" t="s">
        <v>148</v>
      </c>
      <c r="D424" s="3"/>
      <c r="E424" s="3"/>
    </row>
    <row r="425" spans="2:9" ht="15.75" x14ac:dyDescent="0.25">
      <c r="C425" s="54"/>
      <c r="D425" s="3"/>
      <c r="E425" s="3"/>
    </row>
    <row r="426" spans="2:9" ht="15.75" x14ac:dyDescent="0.25">
      <c r="C426" s="54"/>
      <c r="D426" s="3"/>
      <c r="E426" t="s">
        <v>231</v>
      </c>
    </row>
    <row r="427" spans="2:9" ht="15.75" x14ac:dyDescent="0.25">
      <c r="C427" s="54"/>
      <c r="D427" s="3"/>
      <c r="E427" t="s">
        <v>232</v>
      </c>
      <c r="I427" s="64">
        <f>-0.84*6+70</f>
        <v>64.959999999999994</v>
      </c>
    </row>
    <row r="428" spans="2:9" ht="15.75" x14ac:dyDescent="0.25">
      <c r="C428" s="54"/>
      <c r="D428" s="3"/>
      <c r="E428" s="86" t="s">
        <v>233</v>
      </c>
    </row>
    <row r="429" spans="2:9" ht="15.75" x14ac:dyDescent="0.25">
      <c r="C429" s="54"/>
      <c r="D429" s="3"/>
      <c r="E429" s="3"/>
    </row>
    <row r="430" spans="2:9" ht="15.75" x14ac:dyDescent="0.25">
      <c r="C430" s="54"/>
      <c r="D430" s="3"/>
      <c r="E430" s="3"/>
    </row>
    <row r="431" spans="2:9" ht="18.75" x14ac:dyDescent="0.3">
      <c r="B431" s="4" t="s">
        <v>171</v>
      </c>
      <c r="C431" s="54"/>
      <c r="D431" s="3"/>
      <c r="E431" s="3"/>
    </row>
    <row r="432" spans="2:9" ht="15.75" x14ac:dyDescent="0.25">
      <c r="C432" s="54"/>
      <c r="D432" s="3"/>
      <c r="E432" s="3"/>
    </row>
    <row r="433" spans="3:27" ht="15.75" x14ac:dyDescent="0.25">
      <c r="C433" s="54" t="s">
        <v>234</v>
      </c>
      <c r="D433" s="87"/>
      <c r="E433" s="86" t="s">
        <v>235</v>
      </c>
    </row>
    <row r="434" spans="3:27" ht="15.75" x14ac:dyDescent="0.25">
      <c r="C434" s="54"/>
      <c r="D434" s="87"/>
      <c r="E434" s="86"/>
    </row>
    <row r="435" spans="3:27" ht="15.75" x14ac:dyDescent="0.25">
      <c r="C435" s="54"/>
      <c r="D435" s="87" t="s">
        <v>236</v>
      </c>
      <c r="E435" s="2" t="s">
        <v>237</v>
      </c>
      <c r="F435" s="2"/>
      <c r="G435" s="2"/>
      <c r="H435" s="2"/>
      <c r="K435" s="88">
        <f>(15-12)/1.25</f>
        <v>2.4</v>
      </c>
    </row>
    <row r="436" spans="3:27" ht="23.25" x14ac:dyDescent="0.35">
      <c r="C436" s="54"/>
      <c r="D436" s="3"/>
      <c r="E436" t="s">
        <v>238</v>
      </c>
    </row>
    <row r="437" spans="3:27" ht="15.75" x14ac:dyDescent="0.25">
      <c r="C437" s="54"/>
      <c r="D437" s="3"/>
      <c r="E437" t="s">
        <v>239</v>
      </c>
      <c r="K437" s="64">
        <f>1-_xlfn.NORM.DIST(15,12,1.25,TRUE)</f>
        <v>8.1975359245961554E-3</v>
      </c>
    </row>
    <row r="438" spans="3:27" ht="15.75" x14ac:dyDescent="0.25">
      <c r="C438" s="54"/>
      <c r="D438" s="3"/>
      <c r="E438" s="3"/>
      <c r="AA438">
        <f>+NORMSDIST(-4.8)</f>
        <v>7.933281519755948E-7</v>
      </c>
    </row>
    <row r="439" spans="3:27" ht="15.75" x14ac:dyDescent="0.25">
      <c r="C439" s="54"/>
      <c r="D439" s="87" t="s">
        <v>240</v>
      </c>
      <c r="E439" s="2" t="s">
        <v>241</v>
      </c>
      <c r="F439" s="2"/>
      <c r="G439" s="2"/>
      <c r="H439" s="2"/>
      <c r="K439" s="88">
        <f>(6-12)/1.25</f>
        <v>-4.8</v>
      </c>
    </row>
    <row r="440" spans="3:27" ht="23.25" x14ac:dyDescent="0.35">
      <c r="C440" s="54"/>
      <c r="D440" s="3"/>
      <c r="E440" t="s">
        <v>242</v>
      </c>
    </row>
    <row r="441" spans="3:27" ht="15.75" x14ac:dyDescent="0.25">
      <c r="C441" s="54"/>
      <c r="D441" s="3"/>
      <c r="E441" t="s">
        <v>239</v>
      </c>
      <c r="K441" s="64">
        <f>_xlfn.NORM.DIST(6,12,1.25,TRUE)</f>
        <v>7.933281519755948E-7</v>
      </c>
    </row>
    <row r="442" spans="3:27" ht="15.75" x14ac:dyDescent="0.25">
      <c r="C442" s="54"/>
      <c r="D442" s="3"/>
      <c r="E442" s="3"/>
    </row>
    <row r="443" spans="3:27" ht="15.75" x14ac:dyDescent="0.25">
      <c r="C443" s="54"/>
      <c r="D443" s="87" t="s">
        <v>243</v>
      </c>
      <c r="E443" s="3"/>
      <c r="F443" t="s">
        <v>244</v>
      </c>
      <c r="H443" t="s">
        <v>245</v>
      </c>
      <c r="J443" t="s">
        <v>246</v>
      </c>
    </row>
    <row r="444" spans="3:27" ht="15.75" x14ac:dyDescent="0.25">
      <c r="C444" s="54"/>
      <c r="D444" s="3"/>
      <c r="E444" s="3"/>
      <c r="F444">
        <v>8</v>
      </c>
      <c r="H444" s="67">
        <f>(F444-12)/1.25</f>
        <v>-3.2</v>
      </c>
      <c r="J444">
        <v>6.9999999999999999E-4</v>
      </c>
      <c r="K444" s="69"/>
    </row>
    <row r="445" spans="3:27" ht="15.75" x14ac:dyDescent="0.25">
      <c r="C445" s="54"/>
      <c r="D445" s="3"/>
      <c r="E445" s="3"/>
      <c r="F445">
        <v>10</v>
      </c>
      <c r="H445" s="67">
        <f>(F445-12)/1.25</f>
        <v>-1.6</v>
      </c>
      <c r="J445">
        <v>5.4800000000000001E-2</v>
      </c>
      <c r="K445" s="69"/>
    </row>
    <row r="446" spans="3:27" ht="15.75" x14ac:dyDescent="0.25">
      <c r="C446" s="54"/>
      <c r="D446" s="3"/>
      <c r="E446" s="3"/>
    </row>
    <row r="447" spans="3:27" ht="15.75" x14ac:dyDescent="0.25">
      <c r="C447" s="54"/>
      <c r="D447" s="3"/>
      <c r="E447" s="3"/>
      <c r="F447" t="s">
        <v>247</v>
      </c>
      <c r="K447" s="64">
        <f>0.0548-0.0007</f>
        <v>5.4100000000000002E-2</v>
      </c>
    </row>
    <row r="448" spans="3:27" ht="15.75" x14ac:dyDescent="0.25">
      <c r="C448" s="54"/>
      <c r="D448" s="3"/>
      <c r="E448" s="3"/>
      <c r="F448" s="89" t="s">
        <v>239</v>
      </c>
      <c r="K448" s="90">
        <f>_xlfn.NORM.DIST(10,12,1.25,TRUE)-_xlfn.NORM.DIST(8,12,1.25,TRUE)</f>
        <v>5.4112153761642121E-2</v>
      </c>
    </row>
    <row r="449" spans="2:12" ht="15.75" x14ac:dyDescent="0.25">
      <c r="C449" s="54"/>
      <c r="D449" s="3"/>
      <c r="E449" s="3"/>
    </row>
    <row r="450" spans="2:12" ht="15.75" x14ac:dyDescent="0.25">
      <c r="C450" s="92"/>
      <c r="D450" s="87" t="s">
        <v>248</v>
      </c>
      <c r="E450" s="3"/>
      <c r="F450" t="s">
        <v>249</v>
      </c>
    </row>
    <row r="451" spans="2:12" ht="15.75" x14ac:dyDescent="0.25">
      <c r="C451" s="92"/>
      <c r="D451" s="87"/>
      <c r="E451" s="3"/>
    </row>
    <row r="452" spans="2:12" ht="15.75" x14ac:dyDescent="0.25">
      <c r="C452" s="92"/>
      <c r="D452" s="87" t="s">
        <v>250</v>
      </c>
      <c r="E452" s="3"/>
      <c r="F452" t="s">
        <v>211</v>
      </c>
    </row>
    <row r="453" spans="2:12" ht="15.75" x14ac:dyDescent="0.25">
      <c r="C453" s="54"/>
      <c r="D453" s="3"/>
      <c r="E453" s="3"/>
      <c r="F453" t="s">
        <v>251</v>
      </c>
      <c r="J453" s="64">
        <f xml:space="preserve"> -1.64*1.25+12</f>
        <v>9.9499999999999993</v>
      </c>
    </row>
    <row r="454" spans="2:12" ht="15.75" x14ac:dyDescent="0.25">
      <c r="C454" s="54"/>
      <c r="D454" s="3"/>
      <c r="E454" s="3"/>
      <c r="F454" s="86" t="s">
        <v>252</v>
      </c>
    </row>
    <row r="455" spans="2:12" ht="15.75" x14ac:dyDescent="0.25">
      <c r="C455" s="54"/>
      <c r="D455" s="3"/>
      <c r="E455" s="3"/>
      <c r="F455" s="89" t="s">
        <v>253</v>
      </c>
    </row>
    <row r="456" spans="2:12" ht="15.75" x14ac:dyDescent="0.25">
      <c r="C456" s="54"/>
      <c r="D456" s="3"/>
      <c r="E456" s="3"/>
      <c r="K456" s="65">
        <f>NORMINV(0.05,12,1.25)</f>
        <v>9.9439329663106584</v>
      </c>
      <c r="L456" t="s">
        <v>254</v>
      </c>
    </row>
    <row r="457" spans="2:12" ht="15.75" x14ac:dyDescent="0.25">
      <c r="C457" s="54"/>
      <c r="D457" s="3"/>
      <c r="E457" s="3"/>
      <c r="K457" s="91"/>
    </row>
    <row r="458" spans="2:12" ht="18.75" x14ac:dyDescent="0.3">
      <c r="B458" s="4" t="s">
        <v>170</v>
      </c>
      <c r="C458" s="54"/>
      <c r="D458" s="3"/>
      <c r="E458" s="3"/>
    </row>
    <row r="459" spans="2:12" ht="15.75" x14ac:dyDescent="0.25">
      <c r="C459" s="54"/>
      <c r="D459" s="3"/>
      <c r="E459" s="3"/>
    </row>
    <row r="460" spans="2:12" ht="15.75" x14ac:dyDescent="0.25">
      <c r="C460" s="54"/>
      <c r="D460" s="87" t="s">
        <v>234</v>
      </c>
      <c r="E460" s="86" t="s">
        <v>255</v>
      </c>
    </row>
    <row r="461" spans="2:12" ht="15.75" x14ac:dyDescent="0.25">
      <c r="C461" s="54"/>
      <c r="D461" s="3"/>
      <c r="E461" s="3"/>
    </row>
    <row r="462" spans="2:12" ht="15.75" x14ac:dyDescent="0.25">
      <c r="C462" s="54"/>
      <c r="D462" s="87" t="s">
        <v>236</v>
      </c>
      <c r="E462" s="3" t="s">
        <v>256</v>
      </c>
    </row>
    <row r="463" spans="2:12" ht="15.75" x14ac:dyDescent="0.25">
      <c r="C463" s="54"/>
      <c r="D463" s="3"/>
      <c r="E463" s="3"/>
    </row>
    <row r="464" spans="2:12" ht="15.75" x14ac:dyDescent="0.25">
      <c r="C464" s="54"/>
      <c r="D464" s="87" t="s">
        <v>240</v>
      </c>
      <c r="G464" s="3" t="s">
        <v>179</v>
      </c>
      <c r="J464" s="90">
        <f>1.25/SQRT(10)</f>
        <v>0.39528470752104738</v>
      </c>
      <c r="K464" t="s">
        <v>254</v>
      </c>
    </row>
    <row r="465" spans="2:11" ht="15.75" x14ac:dyDescent="0.25">
      <c r="C465" s="54"/>
      <c r="D465" s="3"/>
      <c r="E465" s="3"/>
    </row>
    <row r="466" spans="2:11" ht="15.75" x14ac:dyDescent="0.25">
      <c r="C466" s="54"/>
      <c r="D466" s="87" t="s">
        <v>243</v>
      </c>
      <c r="E466" s="3"/>
      <c r="F466" t="s">
        <v>258</v>
      </c>
    </row>
    <row r="467" spans="2:11" ht="15.75" x14ac:dyDescent="0.25">
      <c r="C467" s="54"/>
      <c r="D467" s="3"/>
      <c r="E467" s="3"/>
      <c r="F467" t="s">
        <v>257</v>
      </c>
    </row>
    <row r="468" spans="2:11" ht="15.75" x14ac:dyDescent="0.25">
      <c r="C468" s="54"/>
      <c r="D468" s="3"/>
      <c r="E468" s="3"/>
    </row>
    <row r="469" spans="2:11" ht="15.75" x14ac:dyDescent="0.25">
      <c r="C469" s="54"/>
      <c r="D469" s="87" t="s">
        <v>248</v>
      </c>
      <c r="E469" s="2" t="s">
        <v>259</v>
      </c>
      <c r="F469" s="2"/>
      <c r="G469" s="2"/>
      <c r="H469" s="2"/>
      <c r="J469" s="88">
        <f>(6-12)/(1.25/SQRT(10))</f>
        <v>-15.178932768808222</v>
      </c>
    </row>
    <row r="470" spans="2:11" ht="23.25" x14ac:dyDescent="0.35">
      <c r="C470" s="54"/>
      <c r="D470" s="3"/>
      <c r="E470" t="s">
        <v>260</v>
      </c>
    </row>
    <row r="471" spans="2:11" ht="15.75" x14ac:dyDescent="0.25">
      <c r="C471" s="54"/>
      <c r="D471" s="3"/>
      <c r="E471" t="s">
        <v>239</v>
      </c>
      <c r="K471" s="64">
        <f>_xlfn.NORM.DIST(6,12,1.25/SQRT(10),TRUE)</f>
        <v>2.4382575785143304E-52</v>
      </c>
    </row>
    <row r="472" spans="2:11" ht="15.75" x14ac:dyDescent="0.25">
      <c r="C472" s="54"/>
      <c r="D472" s="3"/>
      <c r="K472" s="93"/>
    </row>
    <row r="473" spans="2:11" ht="15.75" x14ac:dyDescent="0.25">
      <c r="C473" s="54"/>
      <c r="D473" s="87" t="s">
        <v>250</v>
      </c>
      <c r="E473" s="3"/>
      <c r="F473" t="s">
        <v>261</v>
      </c>
      <c r="K473" s="93"/>
    </row>
    <row r="474" spans="2:11" ht="15.75" x14ac:dyDescent="0.25">
      <c r="C474" s="54"/>
      <c r="D474" s="3"/>
      <c r="K474" s="93"/>
    </row>
    <row r="475" spans="2:11" ht="15.75" x14ac:dyDescent="0.25">
      <c r="C475" s="54"/>
      <c r="D475" s="3"/>
      <c r="E475" s="3"/>
      <c r="K475" s="94"/>
    </row>
    <row r="476" spans="2:11" ht="18.75" x14ac:dyDescent="0.3">
      <c r="B476" s="28" t="s">
        <v>157</v>
      </c>
      <c r="E476" s="40"/>
    </row>
    <row r="477" spans="2:11" ht="15.75" x14ac:dyDescent="0.25">
      <c r="B477" s="51" t="s">
        <v>169</v>
      </c>
      <c r="C477" s="3"/>
      <c r="D477" s="3"/>
      <c r="E477" s="51"/>
      <c r="F477" s="3"/>
    </row>
    <row r="478" spans="2:11" ht="15.75" x14ac:dyDescent="0.25">
      <c r="B478" s="52" t="s">
        <v>158</v>
      </c>
      <c r="C478" s="3"/>
      <c r="D478" s="3"/>
      <c r="E478" s="51"/>
      <c r="F478" s="3"/>
    </row>
    <row r="479" spans="2:11" ht="15.75" x14ac:dyDescent="0.25">
      <c r="B479" s="52" t="s">
        <v>159</v>
      </c>
      <c r="C479" s="3"/>
      <c r="D479" s="3"/>
      <c r="E479" s="51"/>
      <c r="F479" s="3"/>
    </row>
    <row r="480" spans="2:11" ht="15.75" x14ac:dyDescent="0.25">
      <c r="B480" s="3"/>
      <c r="C480" s="53" t="s">
        <v>160</v>
      </c>
      <c r="D480" s="3"/>
      <c r="E480" s="51"/>
      <c r="F480" s="3"/>
    </row>
    <row r="481" spans="2:12" ht="15.75" x14ac:dyDescent="0.25">
      <c r="B481" s="3"/>
      <c r="C481" s="53"/>
      <c r="D481" s="3"/>
      <c r="E481" s="51"/>
      <c r="F481" s="3"/>
    </row>
    <row r="482" spans="2:12" ht="15.75" x14ac:dyDescent="0.25">
      <c r="B482" s="3"/>
      <c r="C482" s="53"/>
      <c r="D482" s="3"/>
      <c r="E482" s="2" t="s">
        <v>259</v>
      </c>
      <c r="F482" s="2"/>
      <c r="G482" s="2"/>
      <c r="H482" s="2"/>
      <c r="J482" s="88">
        <f>(225-235)/(35/SQRT(50))</f>
        <v>-2.0203050891044216</v>
      </c>
    </row>
    <row r="483" spans="2:12" ht="23.25" x14ac:dyDescent="0.35">
      <c r="B483" s="3"/>
      <c r="C483" s="53"/>
      <c r="D483" s="3"/>
      <c r="E483" t="s">
        <v>262</v>
      </c>
    </row>
    <row r="484" spans="2:12" ht="15.75" x14ac:dyDescent="0.25">
      <c r="B484" s="3"/>
      <c r="C484" s="53"/>
      <c r="D484" s="3"/>
      <c r="E484" t="s">
        <v>239</v>
      </c>
      <c r="K484" s="90">
        <f>_xlfn.NORM.DIST(225,235,35/SQRT(50),TRUE)</f>
        <v>2.1675875630431309E-2</v>
      </c>
    </row>
    <row r="485" spans="2:12" ht="15.75" x14ac:dyDescent="0.25">
      <c r="B485" s="3"/>
      <c r="C485" s="53"/>
      <c r="D485" s="3"/>
      <c r="E485" s="51"/>
      <c r="F485" s="3"/>
    </row>
    <row r="486" spans="2:12" ht="18" x14ac:dyDescent="0.25">
      <c r="B486" s="53"/>
      <c r="C486" s="53" t="s">
        <v>161</v>
      </c>
      <c r="D486" s="3"/>
      <c r="E486" s="51"/>
      <c r="F486" s="3"/>
    </row>
    <row r="487" spans="2:12" ht="15.75" x14ac:dyDescent="0.25">
      <c r="B487" s="3"/>
      <c r="C487" s="3"/>
      <c r="D487" s="3"/>
      <c r="E487" s="3"/>
      <c r="F487" s="3"/>
    </row>
    <row r="488" spans="2:12" x14ac:dyDescent="0.25">
      <c r="E488" t="s">
        <v>263</v>
      </c>
    </row>
    <row r="489" spans="2:12" x14ac:dyDescent="0.25">
      <c r="E489" t="s">
        <v>264</v>
      </c>
      <c r="K489" s="65">
        <f>0.52*(35/SQRT(50))+235</f>
        <v>237.57386868351904</v>
      </c>
      <c r="L489" t="s">
        <v>265</v>
      </c>
    </row>
    <row r="490" spans="2:12" x14ac:dyDescent="0.25">
      <c r="E490" t="s">
        <v>266</v>
      </c>
      <c r="K490" s="65">
        <f>_xlfn.NORM.INV(0.7,235,35/SQRT(50))</f>
        <v>237.59565011015491</v>
      </c>
      <c r="L490" t="s">
        <v>265</v>
      </c>
    </row>
    <row r="492" spans="2:12" ht="17.25" x14ac:dyDescent="0.25">
      <c r="E492" t="s">
        <v>267</v>
      </c>
    </row>
  </sheetData>
  <mergeCells count="2">
    <mergeCell ref="L36:AA36"/>
    <mergeCell ref="L37:AA3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Computations and Answers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 W</dc:creator>
  <cp:lastModifiedBy>Elvin</cp:lastModifiedBy>
  <dcterms:created xsi:type="dcterms:W3CDTF">2018-03-28T21:12:45Z</dcterms:created>
  <dcterms:modified xsi:type="dcterms:W3CDTF">2018-09-12T04:02:27Z</dcterms:modified>
</cp:coreProperties>
</file>